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2.xml" ContentType="application/vnd.openxmlformats-officedocument.drawing+xml"/>
  <Override PartName="/xl/comments5.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omments6.xml" ContentType="application/vnd.openxmlformats-officedocument.spreadsheetml.comments+xml"/>
  <Override PartName="/xl/comments7.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901"/>
  <workbookPr defaultThemeVersion="166925"/>
  <mc:AlternateContent xmlns:mc="http://schemas.openxmlformats.org/markup-compatibility/2006">
    <mc:Choice Requires="x15">
      <x15ac:absPath xmlns:x15ac="http://schemas.microsoft.com/office/spreadsheetml/2010/11/ac" url="C:\Users\41215\Desktop\"/>
    </mc:Choice>
  </mc:AlternateContent>
  <xr:revisionPtr revIDLastSave="0" documentId="8_{818B86A3-FF7A-4473-A44F-ACBC2328EBDD}" xr6:coauthVersionLast="43" xr6:coauthVersionMax="43" xr10:uidLastSave="{00000000-0000-0000-0000-000000000000}"/>
  <bookViews>
    <workbookView xWindow="-6566" yWindow="1483" windowWidth="16457" windowHeight="8520" firstSheet="1" activeTab="3" xr2:uid="{00000000-000D-0000-FFFF-FFFF00000000}"/>
  </bookViews>
  <sheets>
    <sheet name="parameters (do not delete)" sheetId="30" state="hidden" r:id="rId1"/>
    <sheet name="Cover" sheetId="33" r:id="rId2"/>
    <sheet name="1. Program Information" sheetId="4" r:id="rId3"/>
    <sheet name="2. CHW Input" sheetId="1" r:id="rId4"/>
    <sheet name="3. Intervention Details" sheetId="3" r:id="rId5"/>
    <sheet name="policy interact graph numbers" sheetId="29" state="hidden" r:id="rId6"/>
    <sheet name="4. Policy Interactive Screen" sheetId="6" r:id="rId7"/>
    <sheet name="Scratch Paper" sheetId="28" r:id="rId8"/>
    <sheet name="Sheet1" sheetId="32" state="hidden" r:id="rId9"/>
    <sheet name="Interview consolidation" sheetId="31" state="hidden" r:id="rId10"/>
    <sheet name="Summary_CHW_Time" sheetId="12" state="hidden" r:id="rId11"/>
    <sheet name="CHW_time_calcs_1" sheetId="7" state="hidden" r:id="rId12"/>
    <sheet name="Summary_CHW" sheetId="13" state="hidden" r:id="rId13"/>
    <sheet name="CHW drop-downs" sheetId="9" state="hidden" r:id="rId14"/>
    <sheet name="Program_Scale-up" sheetId="2" state="hidden" r:id="rId15"/>
    <sheet name="Coverage" sheetId="5" state="hidden" r:id="rId16"/>
    <sheet name="CHW_Time" sheetId="11" state="hidden" r:id="rId17"/>
    <sheet name="CHW_Numbers" sheetId="10" state="hidden" r:id="rId18"/>
    <sheet name="Annex2. Country_Database" sheetId="16" state="hidden" r:id="rId19"/>
    <sheet name="Annex3. Population_Database" sheetId="17" state="hidden" r:id="rId20"/>
    <sheet name="Demography" sheetId="18" state="hidden" r:id="rId21"/>
    <sheet name="STG_Summary" sheetId="19" state="hidden" r:id="rId22"/>
    <sheet name="Service_Numbers" sheetId="20" state="hidden" r:id="rId23"/>
    <sheet name="Summary_Program" sheetId="21" state="hidden" r:id="rId24"/>
  </sheets>
  <externalReferences>
    <externalReference r:id="rId25"/>
  </externalReferences>
  <definedNames>
    <definedName name="_chw1" localSheetId="9">[1]CHW_Categories!$F$9</definedName>
    <definedName name="_chw1">'2. CHW Input'!$F$11</definedName>
    <definedName name="_chw2" localSheetId="9">[1]CHW_Categories!$F$21</definedName>
    <definedName name="_chw2">'2. CHW Input'!$F$19</definedName>
    <definedName name="_chw3" localSheetId="9">[1]CHW_Categories!$F$33</definedName>
    <definedName name="_chw3">'2. CHW Input'!$F$27</definedName>
    <definedName name="_chw4" localSheetId="9">[1]CHW_Categories!$F$45</definedName>
    <definedName name="_chw4">'2. CHW Input'!$F$35</definedName>
    <definedName name="_chw5" localSheetId="9">[1]CHW_Categories!$F$57</definedName>
    <definedName name="_chw5">'2. CHW Input'!$F$43</definedName>
    <definedName name="_chw6" localSheetId="9">[1]CHW_Categories!$F$69</definedName>
    <definedName name="_chw6">'2. CHW Input'!$F$51</definedName>
    <definedName name="_xlnm._FilterDatabase" localSheetId="18" hidden="1">'Annex2. Country_Database'!$A$4:$AS$201</definedName>
    <definedName name="_xlnm._FilterDatabase" localSheetId="16" hidden="1">CHW_Time!$B$2:$L$105</definedName>
    <definedName name="_xlnm._FilterDatabase" localSheetId="9" hidden="1">'Interview consolidation'!$D$1:$D$220</definedName>
    <definedName name="_xlnm._FilterDatabase" localSheetId="22" hidden="1">Service_Numbers!$B$2:$O$105</definedName>
    <definedName name="admin_levels" localSheetId="9">[1]Program_Data!#REF!</definedName>
    <definedName name="admin_levels">'1. Program Information'!#REF!</definedName>
    <definedName name="baseline_year" localSheetId="9">[1]Program_Data!$D$5</definedName>
    <definedName name="baseline_year">'1. Program Information'!$D$9</definedName>
    <definedName name="budget_categories" localSheetId="9">#REF!</definedName>
    <definedName name="budget_categories">#REF!</definedName>
    <definedName name="chw_list" localSheetId="9">[1]CHW_Numbers!$B$86:$B$94</definedName>
    <definedName name="chw_list">CHW_Numbers!$B$86:$B$94</definedName>
    <definedName name="chw_method" localSheetId="9">[1]CHW_Categories!$C$4</definedName>
    <definedName name="chw_method">'2. CHW Input'!$C$5</definedName>
    <definedName name="chw_pie">'4. Policy Interactive Screen'!#REF!</definedName>
    <definedName name="chw_short_list" localSheetId="9">[1]CHW_Numbers!$B$86:$B$92</definedName>
    <definedName name="chw_short_list">CHW_Numbers!$B$86:$B$92</definedName>
    <definedName name="community_target_pop" localSheetId="9">'[1]Program_Scale-up'!$C$10</definedName>
    <definedName name="community_target_pop">'Program_Scale-up'!$C$10</definedName>
    <definedName name="country_database" localSheetId="9">'[1]Annex2. Country_Database'!$C$5:$AS$201</definedName>
    <definedName name="country_database">'Annex2. Country_Database'!$C$5:$AS$201</definedName>
    <definedName name="country_list" localSheetId="9">'[1]Annex2. Country_Database'!$C$5:$C$201</definedName>
    <definedName name="country_list">'Annex2. Country_Database'!$C$5:$C$201</definedName>
    <definedName name="coverage_list" localSheetId="9">OFFSET([1]Coverage!$B$9,0,0,100-COUNTIF([1]Coverage!$B$9:$B$108,""),1)</definedName>
    <definedName name="coverage_list">OFFSET(Coverage!$B$6,0,0,100-COUNTIF(Coverage!$B$6:$B$105,""),1)</definedName>
    <definedName name="coverage_target_entry">Coverage!#REF!</definedName>
    <definedName name="crude_birth_rate" localSheetId="9">[1]Demography!$C$18</definedName>
    <definedName name="crude_birth_rate">Demography!$C$18</definedName>
    <definedName name="currencies" localSheetId="9">[1]Program_Data!#REF!</definedName>
    <definedName name="currencies">'1. Program Information'!#REF!</definedName>
    <definedName name="currency_calculation" localSheetId="9">[1]Summary_Tables!#REF!</definedName>
    <definedName name="currency_calculation">#REF!</definedName>
    <definedName name="currency_enter" localSheetId="9">[1]Program_Data!#REF!</definedName>
    <definedName name="currency_enter">'1. Program Information'!#REF!</definedName>
    <definedName name="currency_results" localSheetId="9">[1]Program_Data!#REF!</definedName>
    <definedName name="currency_results">'1. Program Information'!#REF!</definedName>
    <definedName name="currency1" localSheetId="9">[1]Program_Data!#REF!</definedName>
    <definedName name="currency1">'1. Program Information'!#REF!</definedName>
    <definedName name="currency2" localSheetId="9">[1]Program_Data!#REF!</definedName>
    <definedName name="currency2">'1. Program Information'!#REF!</definedName>
    <definedName name="dashboard_selection1" localSheetId="6">'4. Policy Interactive Screen'!#REF!</definedName>
    <definedName name="dashboard_selection1" localSheetId="9">[1]Graphs!$S$26</definedName>
    <definedName name="dashboard_selection1">#REF!</definedName>
    <definedName name="dashboard_selection2" localSheetId="6">'4. Policy Interactive Screen'!$AB$48</definedName>
    <definedName name="dashboard_selection2" localSheetId="9">[1]Graphs!#REF!</definedName>
    <definedName name="dashboard_selection2">#REF!</definedName>
    <definedName name="dashboard_selection3" localSheetId="6">'4. Policy Interactive Screen'!$R$75</definedName>
    <definedName name="dashboard_selection3" localSheetId="9">[1]Graphs!#REF!</definedName>
    <definedName name="dashboard_selection3">#REF!</definedName>
    <definedName name="dashboard_selection4" localSheetId="6">'4. Policy Interactive Screen'!#REF!</definedName>
    <definedName name="dashboard_selection4" localSheetId="9">[1]Graphs!#REF!</definedName>
    <definedName name="dashboard_selection4">#REF!</definedName>
    <definedName name="database_indicators" localSheetId="9">'[1]Annex2. Country_Database'!$C$4:$AS$4</definedName>
    <definedName name="database_indicators">'Annex2. Country_Database'!$C$4:$AS$4</definedName>
    <definedName name="drug_markup" localSheetId="9">#REF!</definedName>
    <definedName name="drug_markup">#REF!</definedName>
    <definedName name="exchange_rate" localSheetId="9">[1]Program_Data!#REF!</definedName>
    <definedName name="exchange_rate">'1. Program Information'!#REF!</definedName>
    <definedName name="financing_input" localSheetId="6">'1. Program Information'!#REF!</definedName>
    <definedName name="financing_input" localSheetId="9">[1]Program_Data!#REF!</definedName>
    <definedName name="financing_input" localSheetId="10">'1. Program Information'!#REF!</definedName>
    <definedName name="financing_input">'1. Program Information'!#REF!</definedName>
    <definedName name="funding_sources" localSheetId="9">[1]Program_Data!#REF!</definedName>
    <definedName name="funding_sources">'1. Program Information'!#REF!</definedName>
    <definedName name="household_size" localSheetId="9">[1]Program_Data!$D$35</definedName>
    <definedName name="household_size">'1. Program Information'!$D$14</definedName>
    <definedName name="inflation_rate" localSheetId="9">[1]Program_Data!#REF!</definedName>
    <definedName name="inflation_rate">'1. Program Information'!#REF!</definedName>
    <definedName name="input_list" localSheetId="9">[1]Summary_Tables!#REF!</definedName>
    <definedName name="input_list">#REF!</definedName>
    <definedName name="length_of_program" localSheetId="9">[1]Program_Data!$D$14</definedName>
    <definedName name="length_of_program">'parameters (do not delete)'!$D$3</definedName>
    <definedName name="level1" localSheetId="9">[1]Program_Data!#REF!</definedName>
    <definedName name="level1">'1. Program Information'!#REF!</definedName>
    <definedName name="level2" localSheetId="9">[1]Program_Data!#REF!</definedName>
    <definedName name="level2">'1. Program Information'!#REF!</definedName>
    <definedName name="level3" localSheetId="9">[1]Program_Data!#REF!</definedName>
    <definedName name="level3">'1. Program Information'!#REF!</definedName>
    <definedName name="level4" localSheetId="9">[1]Program_Data!#REF!</definedName>
    <definedName name="level4">'1. Program Information'!#REF!</definedName>
    <definedName name="level5" localSheetId="9">[1]Program_Data!#REF!</definedName>
    <definedName name="level5">'1. Program Information'!#REF!</definedName>
    <definedName name="level6a" localSheetId="9">[1]Program_Data!#REF!</definedName>
    <definedName name="level6a">'1. Program Information'!#REF!</definedName>
    <definedName name="level6b" localSheetId="9">[1]Program_Data!#REF!</definedName>
    <definedName name="level6b">'1. Program Information'!#REF!</definedName>
    <definedName name="lookup_adminlevels" localSheetId="9">'[1]Program_Scale-up'!$B$24:$M$30</definedName>
    <definedName name="lookup_adminlevels">'Program_Scale-up'!#REF!</definedName>
    <definedName name="lookup_chw_numbers">CHW_Numbers!$B$86:$F$94</definedName>
    <definedName name="lookup_chw_salary" localSheetId="9">[1]Summary_CHW!#REF!</definedName>
    <definedName name="lookup_chw_salary" localSheetId="10">Summary_CHW_Time!#REF!</definedName>
    <definedName name="lookup_chw_salary">Summary_CHW!#REF!</definedName>
    <definedName name="lookup_chw_training">CHW_Numbers!$B$97:$F$103</definedName>
    <definedName name="lookup_demography" localSheetId="9">[1]Demography!$B$22:$M$45</definedName>
    <definedName name="lookup_demography">Demography!$B$22:$F$45</definedName>
    <definedName name="lookup_masterlist" localSheetId="9">[1]Package!$B$6:$Z$105</definedName>
    <definedName name="lookup_masterlist">'3. Intervention Details'!$B$6:$Z$105</definedName>
    <definedName name="lookup_medicines" localSheetId="9">#REF!</definedName>
    <definedName name="lookup_medicines">#REF!</definedName>
    <definedName name="lookup_rural" localSheetId="9">[1]Demography!$B$72:$M$93</definedName>
    <definedName name="lookup_rural">Demography!$B$72:$F$93</definedName>
    <definedName name="lookup_supervisor_numbers" localSheetId="9">#REF!</definedName>
    <definedName name="lookup_supervisor_numbers">#REF!</definedName>
    <definedName name="lookup_supervisor_training" localSheetId="9">#REF!</definedName>
    <definedName name="lookup_supervisor_training">#REF!</definedName>
    <definedName name="lookup_targetpop">'3. Intervention Details'!$B$6:$I$105</definedName>
    <definedName name="lookup_time_cost" localSheetId="9">[1]STG_Summary!$B$4:$E$103</definedName>
    <definedName name="lookup_time_cost">STG_Summary!$B$4:$D$103</definedName>
    <definedName name="lookup_urban" localSheetId="9">[1]Demography!$B$48:$M$69</definedName>
    <definedName name="lookup_urban">Demography!$B$48:$F$69</definedName>
    <definedName name="Male_condom_distribution">'3. Intervention Details'!$B$6:$Z$105</definedName>
    <definedName name="markup_equipment" localSheetId="9">#REF!</definedName>
    <definedName name="markup_equipment">#REF!</definedName>
    <definedName name="maternal_mortality_rate" localSheetId="9">[1]Demography!$C$19</definedName>
    <definedName name="maternal_mortality_rate">Demography!$C$19</definedName>
    <definedName name="medicines_list" localSheetId="9">#REF!</definedName>
    <definedName name="medicines_list">#REF!</definedName>
    <definedName name="national_currency" localSheetId="9">[1]Program_Data!#REF!</definedName>
    <definedName name="national_currency">'1. Program Information'!#REF!</definedName>
    <definedName name="national_pop" localSheetId="9">[1]Program_Data!$D$7</definedName>
    <definedName name="national_pop">'1. Program Information'!$D$11</definedName>
    <definedName name="national_pop_growth" localSheetId="9">[1]Program_Data!$D$8</definedName>
    <definedName name="national_pop_growth">'parameters (do not delete)'!$D$23</definedName>
    <definedName name="number_chw_cat">'2. CHW Input'!$C$3</definedName>
    <definedName name="number_communities" localSheetId="9">'[1]Program_Scale-up'!#REF!</definedName>
    <definedName name="number_communities">'Program_Scale-up'!#REF!</definedName>
    <definedName name="percapita_list" localSheetId="9">[1]Summary_Tables!#REF!</definedName>
    <definedName name="percapita_list">#REF!</definedName>
    <definedName name="percent_rural" localSheetId="9">[1]Program_Data!$D$33</definedName>
    <definedName name="percent_rural">'parameters (do not delete)'!$D$22</definedName>
    <definedName name="percent_urban" localSheetId="9">[1]Program_Data!$D$31</definedName>
    <definedName name="percent_urban">'parameters (do not delete)'!$D$20</definedName>
    <definedName name="pop_lookup" localSheetId="9">'[1]Annex3. Population_Database'!$E$19:$BS$292</definedName>
    <definedName name="pop_lookup">'Annex3. Population_Database'!$E$19:$BS$292</definedName>
    <definedName name="_xlnm.Print_Area" localSheetId="6">'4. Policy Interactive Screen'!$A$3:$AL$65</definedName>
    <definedName name="program_list" localSheetId="9">[1]Program_Data!$C$39:$C$49</definedName>
    <definedName name="program_list">'1. Program Information'!$C$18:$C$28</definedName>
    <definedName name="program1" localSheetId="9">[1]Program_Data!$C$40</definedName>
    <definedName name="program1">'1. Program Information'!$C$19</definedName>
    <definedName name="program10" localSheetId="9">[1]Program_Data!$C$49</definedName>
    <definedName name="program10">'1. Program Information'!$C$28</definedName>
    <definedName name="program2" localSheetId="9">[1]Program_Data!$C$41</definedName>
    <definedName name="program2">'1. Program Information'!$C$20</definedName>
    <definedName name="program3" localSheetId="9">[1]Program_Data!$C$42</definedName>
    <definedName name="program3">'1. Program Information'!$C$21</definedName>
    <definedName name="program4" localSheetId="9">[1]Program_Data!$C$43</definedName>
    <definedName name="program4">'1. Program Information'!$C$22</definedName>
    <definedName name="program5" localSheetId="9">[1]Program_Data!$C$44</definedName>
    <definedName name="program5">'1. Program Information'!$C$23</definedName>
    <definedName name="program6" localSheetId="9">[1]Program_Data!$C$45</definedName>
    <definedName name="program6">'1. Program Information'!$C$24</definedName>
    <definedName name="program7" localSheetId="9">[1]Program_Data!$C$46</definedName>
    <definedName name="program7">'1. Program Information'!$C$25</definedName>
    <definedName name="program8" localSheetId="9">[1]Program_Data!$C$47</definedName>
    <definedName name="program8">'1. Program Information'!$C$26</definedName>
    <definedName name="program9" localSheetId="9">[1]Program_Data!$C$48</definedName>
    <definedName name="program9">'1. Program Information'!$C$27</definedName>
    <definedName name="scaleup" localSheetId="9">[1]Program_Data!$D$22</definedName>
    <definedName name="scaleup">'parameters (do not delete)'!$D$11</definedName>
    <definedName name="selected_country" localSheetId="9">[1]Program_Data!$D$3</definedName>
    <definedName name="selected_country">'1. Program Information'!$D$5</definedName>
    <definedName name="stg_cost1" localSheetId="9">#REF!</definedName>
    <definedName name="stg_cost1">#REF!</definedName>
    <definedName name="stg_cost10" localSheetId="9">#REF!</definedName>
    <definedName name="stg_cost10">#REF!</definedName>
    <definedName name="stg_cost11" localSheetId="9">#REF!</definedName>
    <definedName name="stg_cost11">#REF!</definedName>
    <definedName name="stg_cost2" localSheetId="9">#REF!</definedName>
    <definedName name="stg_cost2">#REF!</definedName>
    <definedName name="stg_cost3" localSheetId="9">#REF!</definedName>
    <definedName name="stg_cost3">#REF!</definedName>
    <definedName name="stg_cost4" localSheetId="9">#REF!</definedName>
    <definedName name="stg_cost4">#REF!</definedName>
    <definedName name="stg_cost5" localSheetId="9">#REF!</definedName>
    <definedName name="stg_cost5">#REF!</definedName>
    <definedName name="stg_cost6" localSheetId="9">#REF!</definedName>
    <definedName name="stg_cost6">#REF!</definedName>
    <definedName name="stg_cost7" localSheetId="9">#REF!</definedName>
    <definedName name="stg_cost7">#REF!</definedName>
    <definedName name="stg_cost8" localSheetId="9">#REF!</definedName>
    <definedName name="stg_cost8">#REF!</definedName>
    <definedName name="stg_cost9" localSheetId="9">#REF!</definedName>
    <definedName name="stg_cost9">#REF!</definedName>
    <definedName name="stg_list" localSheetId="9">#REF!</definedName>
    <definedName name="stg_list">#REF!</definedName>
    <definedName name="stg_unit1" localSheetId="9">#REF!</definedName>
    <definedName name="stg_unit1">#REF!</definedName>
    <definedName name="stg_unit10" localSheetId="9">#REF!</definedName>
    <definedName name="stg_unit10">#REF!</definedName>
    <definedName name="stg_unit11" localSheetId="9">#REF!</definedName>
    <definedName name="stg_unit11">#REF!</definedName>
    <definedName name="stg_unit2" localSheetId="9">#REF!</definedName>
    <definedName name="stg_unit2">#REF!</definedName>
    <definedName name="stg_unit3" localSheetId="9">#REF!</definedName>
    <definedName name="stg_unit3">#REF!</definedName>
    <definedName name="stg_unit4" localSheetId="9">#REF!</definedName>
    <definedName name="stg_unit4">#REF!</definedName>
    <definedName name="stg_unit5" localSheetId="9">#REF!</definedName>
    <definedName name="stg_unit5">#REF!</definedName>
    <definedName name="stg_unit6" localSheetId="9">#REF!</definedName>
    <definedName name="stg_unit6">#REF!</definedName>
    <definedName name="stg_unit7" localSheetId="9">#REF!</definedName>
    <definedName name="stg_unit7">#REF!</definedName>
    <definedName name="stg_unit8" localSheetId="9">#REF!</definedName>
    <definedName name="stg_unit8">#REF!</definedName>
    <definedName name="stg_unit9" localSheetId="9">#REF!</definedName>
    <definedName name="stg_unit9">#REF!</definedName>
    <definedName name="subnat_pop" localSheetId="9">[1]Program_Data!$D$20</definedName>
    <definedName name="subnat_pop">'parameters (do not delete)'!$D$9</definedName>
    <definedName name="subnational" localSheetId="9">[1]Program_Data!$D$18</definedName>
    <definedName name="subnational">'parameters (do not delete)'!$D$7</definedName>
    <definedName name="subnational_name" localSheetId="9">[1]Program_Data!$D$19</definedName>
    <definedName name="subnational_name">'parameters (do not delete)'!$D$8</definedName>
    <definedName name="supervisor_list" localSheetId="9">#REF!</definedName>
    <definedName name="supervisor_list">#REF!</definedName>
    <definedName name="supervisor_method" localSheetId="9">#REF!</definedName>
    <definedName name="supervisor_method">#REF!</definedName>
    <definedName name="supervisor1" localSheetId="9">#REF!</definedName>
    <definedName name="supervisor1">#REF!</definedName>
    <definedName name="supervisor2" localSheetId="9">#REF!</definedName>
    <definedName name="supervisor2">#REF!</definedName>
    <definedName name="supervisor3" localSheetId="9">#REF!</definedName>
    <definedName name="supervisor3">#REF!</definedName>
    <definedName name="supervisor4" localSheetId="9">#REF!</definedName>
    <definedName name="supervisor4">#REF!</definedName>
    <definedName name="supervisor5" localSheetId="9">#REF!</definedName>
    <definedName name="supervisor5">#REF!</definedName>
    <definedName name="supervisor6" localSheetId="9">#REF!</definedName>
    <definedName name="supervisor6">#REF!</definedName>
    <definedName name="target_pop" localSheetId="9">[1]Demography!$C$12</definedName>
    <definedName name="target_pop">Demography!$C$12</definedName>
    <definedName name="target_pops" localSheetId="9">[1]Demography!$B$22:$B$45</definedName>
    <definedName name="target_pops">Demography!$B$22:$B$45</definedName>
    <definedName name="tool_name" localSheetId="9">#REF!</definedName>
    <definedName name="tool_name">#REF!</definedName>
    <definedName name="tool_version" localSheetId="9">#REF!</definedName>
    <definedName name="tool_version">#REF!</definedName>
    <definedName name="training1" localSheetId="9">#REF!</definedName>
    <definedName name="training1">#REF!</definedName>
    <definedName name="training2" localSheetId="9">#REF!</definedName>
    <definedName name="training2">#REF!</definedName>
    <definedName name="urban_rural" localSheetId="9">[1]Program_Data!$Z$5</definedName>
    <definedName name="urban_rural">'1. Program Information'!$Z$9</definedName>
    <definedName name="urban_rural_scenario" localSheetId="9">[1]Program_Data!$Z$4</definedName>
    <definedName name="urban_rural_scenario">'1. Program Information'!$Z$8</definedName>
    <definedName name="year_dropdown">#REF!</definedName>
    <definedName name="year_lookup" localSheetId="9">'[1]Annex3. Population_Database'!$F$19:$BS$19</definedName>
    <definedName name="year_lookup">'Annex3. Population_Database'!$F$19:$BS$19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K105" i="11" l="1"/>
  <c r="K104" i="11"/>
  <c r="K103" i="11"/>
  <c r="K102" i="11"/>
  <c r="K101" i="11"/>
  <c r="K100" i="11"/>
  <c r="K99" i="11"/>
  <c r="K98" i="11"/>
  <c r="K97" i="11"/>
  <c r="K96" i="11"/>
  <c r="K95" i="11"/>
  <c r="K94" i="11"/>
  <c r="K93" i="11"/>
  <c r="K92" i="11"/>
  <c r="K91" i="11"/>
  <c r="K90" i="11"/>
  <c r="K89" i="11"/>
  <c r="K88" i="11"/>
  <c r="K87" i="11"/>
  <c r="K86" i="11"/>
  <c r="K85" i="11"/>
  <c r="K84" i="11"/>
  <c r="K83" i="11"/>
  <c r="K82" i="11"/>
  <c r="K81" i="11"/>
  <c r="K80" i="11"/>
  <c r="K79" i="11"/>
  <c r="K74" i="11"/>
  <c r="K71" i="11"/>
  <c r="K69" i="11"/>
  <c r="K67" i="11"/>
  <c r="K65" i="11"/>
  <c r="K64" i="11"/>
  <c r="K61" i="11"/>
  <c r="K59" i="11"/>
  <c r="K55" i="11"/>
  <c r="K54" i="11"/>
  <c r="K53" i="11"/>
  <c r="K51" i="11"/>
  <c r="K49" i="11"/>
  <c r="K47" i="11"/>
  <c r="K44" i="11"/>
  <c r="K37" i="11"/>
  <c r="K24" i="11"/>
  <c r="K22" i="11"/>
  <c r="K19" i="11"/>
  <c r="K16" i="11"/>
  <c r="K13" i="11"/>
  <c r="K10" i="11"/>
  <c r="K7" i="11"/>
  <c r="E16" i="1" l="1"/>
  <c r="F38" i="7" l="1"/>
  <c r="B38" i="7"/>
  <c r="C11" i="4" l="1"/>
  <c r="BC28" i="29" l="1"/>
  <c r="BC29" i="29" s="1"/>
  <c r="BC30" i="29" s="1"/>
  <c r="BC31" i="29" s="1"/>
  <c r="BC32" i="29" s="1"/>
  <c r="BB28" i="29"/>
  <c r="BB29" i="29" s="1"/>
  <c r="BB30" i="29" s="1"/>
  <c r="BB31" i="29" s="1"/>
  <c r="BB32" i="29" s="1"/>
  <c r="D5" i="6" l="1"/>
  <c r="Y29" i="1" l="1"/>
  <c r="Y37" i="1"/>
  <c r="Y45" i="1"/>
  <c r="Y53" i="1"/>
  <c r="F123" i="10"/>
  <c r="F7" i="7" s="1"/>
  <c r="F71" i="7" s="1"/>
  <c r="F89" i="7" s="1"/>
  <c r="D4" i="19"/>
  <c r="D5" i="19"/>
  <c r="D6" i="19"/>
  <c r="D7" i="19"/>
  <c r="D8" i="19"/>
  <c r="D9" i="19"/>
  <c r="D10" i="19"/>
  <c r="D11" i="19"/>
  <c r="D12" i="19"/>
  <c r="D13" i="19"/>
  <c r="D14" i="19"/>
  <c r="D15" i="19"/>
  <c r="D16" i="19"/>
  <c r="D17" i="19"/>
  <c r="D18" i="19"/>
  <c r="D19" i="19"/>
  <c r="D20" i="19"/>
  <c r="D21" i="19"/>
  <c r="D22" i="19"/>
  <c r="D23" i="19"/>
  <c r="D24" i="19"/>
  <c r="D25" i="19"/>
  <c r="D26" i="19"/>
  <c r="D27" i="19"/>
  <c r="D28" i="19"/>
  <c r="D29" i="19"/>
  <c r="D30" i="19"/>
  <c r="D31" i="19"/>
  <c r="D32" i="19"/>
  <c r="D33" i="19"/>
  <c r="D34" i="19"/>
  <c r="D35" i="19"/>
  <c r="D36" i="19"/>
  <c r="D37" i="19"/>
  <c r="D38" i="19"/>
  <c r="D39" i="19"/>
  <c r="D40" i="19"/>
  <c r="D41" i="19"/>
  <c r="D42" i="19"/>
  <c r="D43" i="19"/>
  <c r="D44" i="19"/>
  <c r="D45" i="19"/>
  <c r="D46" i="19"/>
  <c r="D47" i="19"/>
  <c r="D48" i="19"/>
  <c r="D49" i="19"/>
  <c r="D50" i="19"/>
  <c r="D51" i="19"/>
  <c r="D52" i="19"/>
  <c r="D53" i="19"/>
  <c r="D54" i="19"/>
  <c r="D55" i="19"/>
  <c r="D56" i="19"/>
  <c r="D57" i="19"/>
  <c r="D58" i="19"/>
  <c r="D59" i="19"/>
  <c r="D60" i="19"/>
  <c r="D61" i="19"/>
  <c r="D62" i="19"/>
  <c r="D63" i="19"/>
  <c r="D64" i="19"/>
  <c r="D65" i="19"/>
  <c r="D66" i="19"/>
  <c r="D67" i="19"/>
  <c r="D68" i="19"/>
  <c r="D69" i="19"/>
  <c r="D70" i="19"/>
  <c r="D71" i="19"/>
  <c r="D72" i="19"/>
  <c r="D73" i="19"/>
  <c r="D74" i="19"/>
  <c r="D75" i="19"/>
  <c r="D76" i="19"/>
  <c r="D77" i="19"/>
  <c r="D78" i="19"/>
  <c r="D79" i="19"/>
  <c r="D80" i="19"/>
  <c r="D81" i="19"/>
  <c r="D82" i="19"/>
  <c r="D83" i="19"/>
  <c r="D84" i="19"/>
  <c r="D85" i="19"/>
  <c r="D86" i="19"/>
  <c r="D87" i="19"/>
  <c r="D88" i="19"/>
  <c r="D89" i="19"/>
  <c r="D90" i="19"/>
  <c r="D91" i="19"/>
  <c r="D92" i="19"/>
  <c r="D93" i="19"/>
  <c r="D94" i="19"/>
  <c r="D95" i="19"/>
  <c r="D96" i="19"/>
  <c r="D97" i="19"/>
  <c r="D98" i="19"/>
  <c r="D99" i="19"/>
  <c r="D100" i="19"/>
  <c r="D101" i="19"/>
  <c r="D102" i="19"/>
  <c r="D103" i="19"/>
  <c r="A2" i="12"/>
  <c r="H9" i="10"/>
  <c r="B75" i="13"/>
  <c r="B5" i="2"/>
  <c r="B6" i="2"/>
  <c r="B7" i="2"/>
  <c r="B15" i="2"/>
  <c r="B16" i="2"/>
  <c r="B17" i="2"/>
  <c r="C22" i="30"/>
  <c r="C21" i="30"/>
  <c r="C20" i="30"/>
  <c r="C19" i="30"/>
  <c r="C17" i="30"/>
  <c r="D16" i="30"/>
  <c r="D17" i="30" s="1"/>
  <c r="C7" i="2" s="1"/>
  <c r="C16" i="30"/>
  <c r="D15" i="30"/>
  <c r="D19" i="30" s="1"/>
  <c r="C11" i="2" s="1"/>
  <c r="C15" i="30"/>
  <c r="C14" i="30"/>
  <c r="C11" i="30"/>
  <c r="C9" i="30"/>
  <c r="D5" i="30"/>
  <c r="AQ3" i="29"/>
  <c r="AQ13" i="29" s="1"/>
  <c r="AQ6" i="29"/>
  <c r="AQ7" i="29"/>
  <c r="BH7" i="29"/>
  <c r="BI7" i="29"/>
  <c r="I3" i="7" s="1"/>
  <c r="C37" i="7" s="1"/>
  <c r="BK7" i="29"/>
  <c r="BL7" i="29"/>
  <c r="J3" i="7" s="1"/>
  <c r="D37" i="7" s="1"/>
  <c r="BN7" i="29"/>
  <c r="E29" i="7" s="1"/>
  <c r="BO7" i="29"/>
  <c r="P61" i="7" s="1"/>
  <c r="BH8" i="29"/>
  <c r="N54" i="7" s="1"/>
  <c r="BI8" i="29"/>
  <c r="BK8" i="29"/>
  <c r="BL8" i="29"/>
  <c r="J4" i="7" s="1"/>
  <c r="D38" i="7" s="1"/>
  <c r="BN8" i="29"/>
  <c r="P54" i="7" s="1"/>
  <c r="BO8" i="29"/>
  <c r="K4" i="7" s="1"/>
  <c r="E38" i="7" s="1"/>
  <c r="BH9" i="29"/>
  <c r="C31" i="7" s="1"/>
  <c r="BI9" i="29"/>
  <c r="I5" i="7" s="1"/>
  <c r="C39" i="7" s="1"/>
  <c r="BK9" i="29"/>
  <c r="BL9" i="29"/>
  <c r="J5" i="7" s="1"/>
  <c r="BN9" i="29"/>
  <c r="E31" i="7" s="1"/>
  <c r="BO9" i="29"/>
  <c r="BH10" i="29"/>
  <c r="BI10" i="29"/>
  <c r="I6" i="7" s="1"/>
  <c r="BK10" i="29"/>
  <c r="D32" i="7" s="1"/>
  <c r="BL10" i="29"/>
  <c r="O64" i="7" s="1"/>
  <c r="BN10" i="29"/>
  <c r="P56" i="7" s="1"/>
  <c r="BO10" i="29"/>
  <c r="P64" i="7" s="1"/>
  <c r="BH11" i="29"/>
  <c r="N57" i="7" s="1"/>
  <c r="BI11" i="29"/>
  <c r="N65" i="7" s="1"/>
  <c r="BK11" i="29"/>
  <c r="D33" i="7" s="1"/>
  <c r="BL11" i="29"/>
  <c r="J7" i="7" s="1"/>
  <c r="BN11" i="29"/>
  <c r="BO11" i="29"/>
  <c r="K7" i="7" s="1"/>
  <c r="E41" i="7" s="1"/>
  <c r="BH12" i="29"/>
  <c r="BI12" i="29"/>
  <c r="BK12" i="29"/>
  <c r="O58" i="7" s="1"/>
  <c r="BL12" i="29"/>
  <c r="O66" i="7" s="1"/>
  <c r="BN12" i="29"/>
  <c r="P58" i="7" s="1"/>
  <c r="BO12" i="29"/>
  <c r="AZ27" i="29"/>
  <c r="BG27" i="29"/>
  <c r="P47" i="6" s="1"/>
  <c r="AZ28" i="29"/>
  <c r="BG28" i="29"/>
  <c r="P48" i="6" s="1"/>
  <c r="AZ29" i="29"/>
  <c r="BG29" i="29"/>
  <c r="P49" i="6" s="1"/>
  <c r="AZ30" i="29"/>
  <c r="BG30" i="29"/>
  <c r="P50" i="6" s="1"/>
  <c r="AZ31" i="29"/>
  <c r="BG31" i="29"/>
  <c r="P51" i="6" s="1"/>
  <c r="AZ32" i="29"/>
  <c r="B92" i="7"/>
  <c r="B91" i="7"/>
  <c r="B90" i="7"/>
  <c r="B89" i="7"/>
  <c r="B88" i="7"/>
  <c r="B87" i="7"/>
  <c r="J5" i="6"/>
  <c r="BM9" i="29" s="1"/>
  <c r="G5" i="6"/>
  <c r="BJ8" i="29" s="1"/>
  <c r="BJ11" i="29"/>
  <c r="BJ10" i="29"/>
  <c r="BJ12" i="29"/>
  <c r="BM12" i="29"/>
  <c r="BM11" i="29"/>
  <c r="BG10" i="29"/>
  <c r="BG11" i="29"/>
  <c r="BG12" i="29"/>
  <c r="BG9" i="29"/>
  <c r="BG7" i="29"/>
  <c r="Y13" i="1" s="1"/>
  <c r="BG8" i="29"/>
  <c r="Y21" i="1" s="1"/>
  <c r="BM8" i="29"/>
  <c r="BJ7" i="29"/>
  <c r="I71" i="11"/>
  <c r="I65" i="11"/>
  <c r="AD105" i="20"/>
  <c r="AC105" i="20"/>
  <c r="F105" i="20" s="1"/>
  <c r="AB105" i="20"/>
  <c r="E105" i="20" s="1"/>
  <c r="AA105" i="20"/>
  <c r="D105" i="20" s="1"/>
  <c r="AD104" i="20"/>
  <c r="AC104" i="20"/>
  <c r="F104" i="20" s="1"/>
  <c r="AB104" i="20"/>
  <c r="E104" i="11" s="1"/>
  <c r="AA104" i="20"/>
  <c r="G172" i="13" s="1"/>
  <c r="AD103" i="20"/>
  <c r="G103" i="11" s="1"/>
  <c r="AC103" i="20"/>
  <c r="F103" i="20" s="1"/>
  <c r="AB103" i="20"/>
  <c r="E103" i="20" s="1"/>
  <c r="AA103" i="20"/>
  <c r="D103" i="20" s="1"/>
  <c r="AD102" i="20"/>
  <c r="G102" i="11" s="1"/>
  <c r="AC102" i="20"/>
  <c r="F102" i="20" s="1"/>
  <c r="AB102" i="20"/>
  <c r="E102" i="20" s="1"/>
  <c r="AA102" i="20"/>
  <c r="D102" i="20" s="1"/>
  <c r="AD101" i="20"/>
  <c r="AC101" i="20"/>
  <c r="F101" i="20" s="1"/>
  <c r="AB101" i="20"/>
  <c r="E101" i="11" s="1"/>
  <c r="AA101" i="20"/>
  <c r="D101" i="20" s="1"/>
  <c r="AD100" i="20"/>
  <c r="AC100" i="20"/>
  <c r="F100" i="20" s="1"/>
  <c r="AB100" i="20"/>
  <c r="E100" i="20" s="1"/>
  <c r="AA100" i="20"/>
  <c r="G168" i="13" s="1"/>
  <c r="AD99" i="20"/>
  <c r="G99" i="11" s="1"/>
  <c r="AC99" i="20"/>
  <c r="F99" i="20" s="1"/>
  <c r="AB99" i="20"/>
  <c r="E99" i="11" s="1"/>
  <c r="AA99" i="20"/>
  <c r="D99" i="11" s="1"/>
  <c r="AD98" i="20"/>
  <c r="G98" i="11" s="1"/>
  <c r="AC98" i="20"/>
  <c r="F98" i="20" s="1"/>
  <c r="AB98" i="20"/>
  <c r="E98" i="11" s="1"/>
  <c r="AA98" i="20"/>
  <c r="G166" i="13" s="1"/>
  <c r="AD97" i="20"/>
  <c r="AC97" i="20"/>
  <c r="F97" i="20" s="1"/>
  <c r="AB97" i="20"/>
  <c r="E97" i="20" s="1"/>
  <c r="AA97" i="20"/>
  <c r="D97" i="11" s="1"/>
  <c r="AD96" i="20"/>
  <c r="AC96" i="20"/>
  <c r="F96" i="20" s="1"/>
  <c r="AB96" i="20"/>
  <c r="E96" i="11" s="1"/>
  <c r="AA96" i="20"/>
  <c r="D96" i="20" s="1"/>
  <c r="AD95" i="20"/>
  <c r="G95" i="20" s="1"/>
  <c r="AC95" i="20"/>
  <c r="F95" i="20" s="1"/>
  <c r="AB95" i="20"/>
  <c r="E95" i="11" s="1"/>
  <c r="AA95" i="20"/>
  <c r="G163" i="13" s="1"/>
  <c r="AD94" i="20"/>
  <c r="AC94" i="20"/>
  <c r="F94" i="20" s="1"/>
  <c r="AB94" i="20"/>
  <c r="E94" i="11" s="1"/>
  <c r="AA94" i="20"/>
  <c r="AD93" i="20"/>
  <c r="AC93" i="20"/>
  <c r="F93" i="20" s="1"/>
  <c r="AB93" i="20"/>
  <c r="E93" i="20" s="1"/>
  <c r="AA93" i="20"/>
  <c r="G161" i="13" s="1"/>
  <c r="AD92" i="20"/>
  <c r="AC92" i="20"/>
  <c r="F92" i="20" s="1"/>
  <c r="AB92" i="20"/>
  <c r="E92" i="20" s="1"/>
  <c r="AA92" i="20"/>
  <c r="D92" i="20" s="1"/>
  <c r="AD91" i="20"/>
  <c r="G91" i="11" s="1"/>
  <c r="AC91" i="20"/>
  <c r="F91" i="20" s="1"/>
  <c r="AB91" i="20"/>
  <c r="E91" i="11" s="1"/>
  <c r="AA91" i="20"/>
  <c r="AD90" i="20"/>
  <c r="G90" i="11" s="1"/>
  <c r="AC90" i="20"/>
  <c r="F90" i="20" s="1"/>
  <c r="AB90" i="20"/>
  <c r="E90" i="11" s="1"/>
  <c r="AA90" i="20"/>
  <c r="G158" i="13" s="1"/>
  <c r="AD89" i="20"/>
  <c r="AC89" i="20"/>
  <c r="F89" i="20" s="1"/>
  <c r="AB89" i="20"/>
  <c r="E89" i="11" s="1"/>
  <c r="AA89" i="20"/>
  <c r="G157" i="13" s="1"/>
  <c r="AD88" i="20"/>
  <c r="AC88" i="20"/>
  <c r="F88" i="20" s="1"/>
  <c r="AB88" i="20"/>
  <c r="E88" i="11" s="1"/>
  <c r="AA88" i="20"/>
  <c r="AD87" i="20"/>
  <c r="G87" i="20" s="1"/>
  <c r="AC87" i="20"/>
  <c r="F87" i="20" s="1"/>
  <c r="AB87" i="20"/>
  <c r="E87" i="11" s="1"/>
  <c r="AA87" i="20"/>
  <c r="D87" i="20" s="1"/>
  <c r="AD86" i="20"/>
  <c r="G86" i="11" s="1"/>
  <c r="AC86" i="20"/>
  <c r="F86" i="20" s="1"/>
  <c r="AB86" i="20"/>
  <c r="E86" i="20" s="1"/>
  <c r="AA86" i="20"/>
  <c r="G154" i="13" s="1"/>
  <c r="AD85" i="20"/>
  <c r="AC85" i="20"/>
  <c r="F85" i="20" s="1"/>
  <c r="AB85" i="20"/>
  <c r="E85" i="11" s="1"/>
  <c r="AA85" i="20"/>
  <c r="G153" i="13" s="1"/>
  <c r="AD84" i="20"/>
  <c r="AC84" i="20"/>
  <c r="F84" i="20" s="1"/>
  <c r="AB84" i="20"/>
  <c r="E84" i="20" s="1"/>
  <c r="AA84" i="20"/>
  <c r="G152" i="13" s="1"/>
  <c r="AD83" i="20"/>
  <c r="G83" i="11" s="1"/>
  <c r="AC83" i="20"/>
  <c r="F83" i="20" s="1"/>
  <c r="AB83" i="20"/>
  <c r="E83" i="11" s="1"/>
  <c r="AA83" i="20"/>
  <c r="D83" i="11" s="1"/>
  <c r="AD82" i="20"/>
  <c r="G82" i="11" s="1"/>
  <c r="AC82" i="20"/>
  <c r="F82" i="20" s="1"/>
  <c r="AB82" i="20"/>
  <c r="E82" i="20" s="1"/>
  <c r="AA82" i="20"/>
  <c r="G150" i="13" s="1"/>
  <c r="AD81" i="20"/>
  <c r="AC81" i="20"/>
  <c r="F81" i="20" s="1"/>
  <c r="AB81" i="20"/>
  <c r="E81" i="11" s="1"/>
  <c r="AA81" i="20"/>
  <c r="AD80" i="20"/>
  <c r="AC80" i="20"/>
  <c r="F80" i="20" s="1"/>
  <c r="AB80" i="20"/>
  <c r="E80" i="20" s="1"/>
  <c r="AA80" i="20"/>
  <c r="G148" i="13" s="1"/>
  <c r="AD79" i="20"/>
  <c r="G79" i="20" s="1"/>
  <c r="AC79" i="20"/>
  <c r="F79" i="20" s="1"/>
  <c r="AB79" i="20"/>
  <c r="E79" i="20" s="1"/>
  <c r="AA79" i="20"/>
  <c r="G147" i="13" s="1"/>
  <c r="AD78" i="20"/>
  <c r="AC78" i="20"/>
  <c r="F78" i="20" s="1"/>
  <c r="AB78" i="20"/>
  <c r="E78" i="11" s="1"/>
  <c r="AA78" i="20"/>
  <c r="G146" i="13" s="1"/>
  <c r="AD77" i="20"/>
  <c r="AC77" i="20"/>
  <c r="F77" i="20" s="1"/>
  <c r="AB77" i="20"/>
  <c r="E77" i="20" s="1"/>
  <c r="AA77" i="20"/>
  <c r="G145" i="13" s="1"/>
  <c r="AD76" i="20"/>
  <c r="AC76" i="20"/>
  <c r="F76" i="20" s="1"/>
  <c r="AB76" i="20"/>
  <c r="E76" i="11" s="1"/>
  <c r="AA76" i="20"/>
  <c r="AD75" i="20"/>
  <c r="G75" i="11" s="1"/>
  <c r="AC75" i="20"/>
  <c r="F75" i="20" s="1"/>
  <c r="AB75" i="20"/>
  <c r="E75" i="20" s="1"/>
  <c r="AA75" i="20"/>
  <c r="D75" i="20" s="1"/>
  <c r="AD74" i="20"/>
  <c r="G74" i="11" s="1"/>
  <c r="AC74" i="20"/>
  <c r="F74" i="20" s="1"/>
  <c r="AB74" i="20"/>
  <c r="E74" i="11" s="1"/>
  <c r="AA74" i="20"/>
  <c r="D74" i="11" s="1"/>
  <c r="AD73" i="20"/>
  <c r="AC73" i="20"/>
  <c r="F73" i="20" s="1"/>
  <c r="AB73" i="20"/>
  <c r="E73" i="20" s="1"/>
  <c r="AA73" i="20"/>
  <c r="G141" i="13" s="1"/>
  <c r="AD72" i="20"/>
  <c r="AC72" i="20"/>
  <c r="F72" i="20" s="1"/>
  <c r="AB72" i="20"/>
  <c r="E72" i="11" s="1"/>
  <c r="AA72" i="20"/>
  <c r="G140" i="13" s="1"/>
  <c r="AD71" i="20"/>
  <c r="G71" i="20" s="1"/>
  <c r="AC71" i="20"/>
  <c r="F71" i="20" s="1"/>
  <c r="AB71" i="20"/>
  <c r="E71" i="11" s="1"/>
  <c r="AA71" i="20"/>
  <c r="D71" i="20" s="1"/>
  <c r="AD70" i="20"/>
  <c r="G70" i="11" s="1"/>
  <c r="AC70" i="20"/>
  <c r="F70" i="20" s="1"/>
  <c r="AB70" i="20"/>
  <c r="E70" i="11" s="1"/>
  <c r="AA70" i="20"/>
  <c r="G138" i="13" s="1"/>
  <c r="AD69" i="20"/>
  <c r="AC69" i="20"/>
  <c r="F69" i="20" s="1"/>
  <c r="AB69" i="20"/>
  <c r="E69" i="11" s="1"/>
  <c r="AA69" i="20"/>
  <c r="AD68" i="20"/>
  <c r="G68" i="20" s="1"/>
  <c r="AC68" i="20"/>
  <c r="F68" i="20" s="1"/>
  <c r="AB68" i="20"/>
  <c r="E68" i="11" s="1"/>
  <c r="AA68" i="20"/>
  <c r="D68" i="20" s="1"/>
  <c r="AD67" i="20"/>
  <c r="G67" i="11" s="1"/>
  <c r="AC67" i="20"/>
  <c r="F67" i="20" s="1"/>
  <c r="AB67" i="20"/>
  <c r="E67" i="11" s="1"/>
  <c r="AA67" i="20"/>
  <c r="D67" i="11" s="1"/>
  <c r="AD66" i="20"/>
  <c r="AC66" i="20"/>
  <c r="F66" i="20" s="1"/>
  <c r="AB66" i="20"/>
  <c r="E66" i="11" s="1"/>
  <c r="AA66" i="20"/>
  <c r="G134" i="13" s="1"/>
  <c r="AD65" i="20"/>
  <c r="AC65" i="20"/>
  <c r="F65" i="20" s="1"/>
  <c r="AB65" i="20"/>
  <c r="E65" i="20" s="1"/>
  <c r="AA65" i="20"/>
  <c r="AD64" i="20"/>
  <c r="G64" i="20" s="1"/>
  <c r="AA64" i="20"/>
  <c r="D64" i="20" s="1"/>
  <c r="AD63" i="20"/>
  <c r="G63" i="20" s="1"/>
  <c r="AA63" i="20"/>
  <c r="G131" i="13" s="1"/>
  <c r="AD62" i="20"/>
  <c r="AA62" i="20"/>
  <c r="D62" i="20" s="1"/>
  <c r="AD61" i="20"/>
  <c r="G61" i="20" s="1"/>
  <c r="AA61" i="20"/>
  <c r="D61" i="11" s="1"/>
  <c r="AD60" i="20"/>
  <c r="AA60" i="20"/>
  <c r="D60" i="20" s="1"/>
  <c r="AD59" i="20"/>
  <c r="G59" i="11" s="1"/>
  <c r="AA59" i="20"/>
  <c r="AD58" i="20"/>
  <c r="G58" i="11" s="1"/>
  <c r="AA58" i="20"/>
  <c r="D58" i="20" s="1"/>
  <c r="AD57" i="20"/>
  <c r="G57" i="20" s="1"/>
  <c r="AA57" i="20"/>
  <c r="G125" i="13" s="1"/>
  <c r="AD56" i="20"/>
  <c r="AC56" i="20"/>
  <c r="F56" i="20" s="1"/>
  <c r="AB56" i="20"/>
  <c r="E56" i="20" s="1"/>
  <c r="AA56" i="20"/>
  <c r="AD55" i="20"/>
  <c r="G55" i="11" s="1"/>
  <c r="AA55" i="20"/>
  <c r="D55" i="20" s="1"/>
  <c r="AD54" i="20"/>
  <c r="G54" i="20" s="1"/>
  <c r="AA54" i="20"/>
  <c r="AD53" i="20"/>
  <c r="AA53" i="20"/>
  <c r="D53" i="20" s="1"/>
  <c r="AD52" i="20"/>
  <c r="G52" i="11" s="1"/>
  <c r="AA52" i="20"/>
  <c r="AD51" i="20"/>
  <c r="G51" i="20" s="1"/>
  <c r="AA51" i="20"/>
  <c r="D51" i="20" s="1"/>
  <c r="AD50" i="20"/>
  <c r="G50" i="20" s="1"/>
  <c r="AA50" i="20"/>
  <c r="AD49" i="20"/>
  <c r="G49" i="11" s="1"/>
  <c r="AA49" i="20"/>
  <c r="D49" i="20" s="1"/>
  <c r="AD48" i="20"/>
  <c r="G48" i="11" s="1"/>
  <c r="AA48" i="20"/>
  <c r="D48" i="11" s="1"/>
  <c r="AD47" i="20"/>
  <c r="AA47" i="20"/>
  <c r="D47" i="20" s="1"/>
  <c r="AD46" i="20"/>
  <c r="G46" i="20" s="1"/>
  <c r="AA46" i="20"/>
  <c r="G114" i="13" s="1"/>
  <c r="AD45" i="20"/>
  <c r="G45" i="11" s="1"/>
  <c r="AA45" i="20"/>
  <c r="D45" i="20" s="1"/>
  <c r="AD44" i="20"/>
  <c r="G44" i="11" s="1"/>
  <c r="AC44" i="20"/>
  <c r="F44" i="11" s="1"/>
  <c r="AB44" i="20"/>
  <c r="AA44" i="20"/>
  <c r="D44" i="20" s="1"/>
  <c r="AD43" i="20"/>
  <c r="G43" i="11" s="1"/>
  <c r="AA43" i="20"/>
  <c r="D43" i="20" s="1"/>
  <c r="AD42" i="20"/>
  <c r="G42" i="11" s="1"/>
  <c r="AA42" i="20"/>
  <c r="D42" i="20" s="1"/>
  <c r="AD41" i="20"/>
  <c r="G41" i="11" s="1"/>
  <c r="AA41" i="20"/>
  <c r="AD40" i="20"/>
  <c r="AC40" i="20"/>
  <c r="F40" i="20" s="1"/>
  <c r="AB40" i="20"/>
  <c r="E40" i="11" s="1"/>
  <c r="AA40" i="20"/>
  <c r="D40" i="11" s="1"/>
  <c r="AD39" i="20"/>
  <c r="AA39" i="20"/>
  <c r="D39" i="20" s="1"/>
  <c r="AD38" i="20"/>
  <c r="G38" i="11" s="1"/>
  <c r="AA38" i="20"/>
  <c r="D38" i="11" s="1"/>
  <c r="AD37" i="20"/>
  <c r="G37" i="20" s="1"/>
  <c r="AC37" i="20"/>
  <c r="F37" i="20" s="1"/>
  <c r="AB37" i="20"/>
  <c r="E37" i="20" s="1"/>
  <c r="AA37" i="20"/>
  <c r="G105" i="13" s="1"/>
  <c r="AD36" i="20"/>
  <c r="AA36" i="20"/>
  <c r="D36" i="20" s="1"/>
  <c r="AD35" i="20"/>
  <c r="G35" i="11" s="1"/>
  <c r="AA35" i="20"/>
  <c r="AD34" i="20"/>
  <c r="AA34" i="20"/>
  <c r="D34" i="20" s="1"/>
  <c r="AD33" i="20"/>
  <c r="G33" i="11" s="1"/>
  <c r="AA33" i="20"/>
  <c r="G101" i="13" s="1"/>
  <c r="AD32" i="20"/>
  <c r="G32" i="11" s="1"/>
  <c r="AA32" i="20"/>
  <c r="D32" i="20" s="1"/>
  <c r="AD31" i="20"/>
  <c r="G31" i="20" s="1"/>
  <c r="AA31" i="20"/>
  <c r="AD30" i="20"/>
  <c r="AA30" i="20"/>
  <c r="D30" i="20" s="1"/>
  <c r="AD29" i="20"/>
  <c r="G29" i="20" s="1"/>
  <c r="AC29" i="20"/>
  <c r="AB29" i="20"/>
  <c r="E29" i="11" s="1"/>
  <c r="AA29" i="20"/>
  <c r="D29" i="20" s="1"/>
  <c r="AD28" i="20"/>
  <c r="G28" i="11" s="1"/>
  <c r="AA28" i="20"/>
  <c r="AD27" i="20"/>
  <c r="G27" i="20" s="1"/>
  <c r="AA27" i="20"/>
  <c r="D27" i="20" s="1"/>
  <c r="AD26" i="20"/>
  <c r="G26" i="20" s="1"/>
  <c r="AA26" i="20"/>
  <c r="D26" i="20" s="1"/>
  <c r="AD25" i="20"/>
  <c r="G25" i="11" s="1"/>
  <c r="AA25" i="20"/>
  <c r="D25" i="20" s="1"/>
  <c r="AD24" i="20"/>
  <c r="G24" i="11" s="1"/>
  <c r="AA24" i="20"/>
  <c r="AD23" i="20"/>
  <c r="G23" i="11" s="1"/>
  <c r="AA23" i="20"/>
  <c r="D23" i="20" s="1"/>
  <c r="AD22" i="20"/>
  <c r="G22" i="20" s="1"/>
  <c r="AA22" i="20"/>
  <c r="AD21" i="20"/>
  <c r="G21" i="20" s="1"/>
  <c r="AA21" i="20"/>
  <c r="D21" i="20" s="1"/>
  <c r="AD20" i="20"/>
  <c r="G20" i="11" s="1"/>
  <c r="AA20" i="20"/>
  <c r="D20" i="11" s="1"/>
  <c r="AD19" i="20"/>
  <c r="G19" i="11" s="1"/>
  <c r="AA19" i="20"/>
  <c r="D19" i="20" s="1"/>
  <c r="AD18" i="20"/>
  <c r="G18" i="11" s="1"/>
  <c r="AC18" i="20"/>
  <c r="AB18" i="20"/>
  <c r="E18" i="20" s="1"/>
  <c r="AA18" i="20"/>
  <c r="D18" i="20" s="1"/>
  <c r="AD17" i="20"/>
  <c r="G17" i="11" s="1"/>
  <c r="AC17" i="20"/>
  <c r="F17" i="11" s="1"/>
  <c r="AB17" i="20"/>
  <c r="E17" i="20" s="1"/>
  <c r="AA17" i="20"/>
  <c r="D17" i="20" s="1"/>
  <c r="AD16" i="20"/>
  <c r="G16" i="20" s="1"/>
  <c r="AA16" i="20"/>
  <c r="AD15" i="20"/>
  <c r="G15" i="20" s="1"/>
  <c r="AA15" i="20"/>
  <c r="D15" i="20" s="1"/>
  <c r="AD14" i="20"/>
  <c r="G14" i="11" s="1"/>
  <c r="AA14" i="20"/>
  <c r="AD13" i="20"/>
  <c r="G13" i="11" s="1"/>
  <c r="AA13" i="20"/>
  <c r="D13" i="20" s="1"/>
  <c r="AD12" i="20"/>
  <c r="G12" i="20" s="1"/>
  <c r="AA12" i="20"/>
  <c r="D12" i="11" s="1"/>
  <c r="AD11" i="20"/>
  <c r="AA11" i="20"/>
  <c r="D11" i="20" s="1"/>
  <c r="AD10" i="20"/>
  <c r="G10" i="11" s="1"/>
  <c r="AA10" i="20"/>
  <c r="D10" i="11" s="1"/>
  <c r="AD9" i="20"/>
  <c r="AA9" i="20"/>
  <c r="D9" i="20" s="1"/>
  <c r="AD8" i="20"/>
  <c r="G8" i="20" s="1"/>
  <c r="AA8" i="20"/>
  <c r="D8" i="11" s="1"/>
  <c r="AD7" i="20"/>
  <c r="G7" i="11" s="1"/>
  <c r="AA7" i="20"/>
  <c r="D7" i="11" s="1"/>
  <c r="E105" i="11"/>
  <c r="D105" i="11"/>
  <c r="G95" i="11"/>
  <c r="G94" i="11"/>
  <c r="G87" i="11"/>
  <c r="E82" i="11"/>
  <c r="G79" i="11"/>
  <c r="G78" i="11"/>
  <c r="G71" i="11"/>
  <c r="G64" i="11"/>
  <c r="G60" i="11"/>
  <c r="G51" i="11"/>
  <c r="E44" i="11"/>
  <c r="G37" i="11"/>
  <c r="G36" i="11"/>
  <c r="E17" i="11"/>
  <c r="G15" i="11"/>
  <c r="G102" i="20"/>
  <c r="G99" i="20"/>
  <c r="E99" i="20"/>
  <c r="G94" i="20"/>
  <c r="G91" i="20"/>
  <c r="E90" i="20"/>
  <c r="G86" i="20"/>
  <c r="G83" i="20"/>
  <c r="E83" i="20"/>
  <c r="G78" i="20"/>
  <c r="G75" i="20"/>
  <c r="G60" i="20"/>
  <c r="G49" i="20"/>
  <c r="G44" i="20"/>
  <c r="E44" i="20"/>
  <c r="G42" i="20"/>
  <c r="G36" i="20"/>
  <c r="G32" i="20"/>
  <c r="G23" i="20"/>
  <c r="G7" i="20"/>
  <c r="AA6" i="20"/>
  <c r="D6" i="20" s="1"/>
  <c r="AD6" i="20"/>
  <c r="G6" i="11" s="1"/>
  <c r="G64" i="16"/>
  <c r="H64" i="16" s="1"/>
  <c r="B42" i="12"/>
  <c r="B78" i="12"/>
  <c r="B69" i="12"/>
  <c r="B60" i="12"/>
  <c r="B51" i="12"/>
  <c r="B8" i="6"/>
  <c r="B9" i="6"/>
  <c r="F50" i="7"/>
  <c r="F49" i="7"/>
  <c r="F48" i="7"/>
  <c r="F47" i="7"/>
  <c r="F46" i="7"/>
  <c r="F45" i="7"/>
  <c r="F42" i="7"/>
  <c r="F41" i="7"/>
  <c r="F40" i="7"/>
  <c r="F39" i="7"/>
  <c r="F37" i="7"/>
  <c r="K8" i="7"/>
  <c r="E42" i="7" s="1"/>
  <c r="K105" i="5"/>
  <c r="J105" i="5"/>
  <c r="I105" i="5"/>
  <c r="G105" i="5"/>
  <c r="K104" i="5"/>
  <c r="J104" i="5"/>
  <c r="I104" i="5"/>
  <c r="G104" i="5"/>
  <c r="K103" i="5"/>
  <c r="J103" i="5"/>
  <c r="I103" i="5"/>
  <c r="G103" i="5"/>
  <c r="K102" i="5"/>
  <c r="J102" i="5"/>
  <c r="I102" i="5"/>
  <c r="G102" i="5"/>
  <c r="K101" i="5"/>
  <c r="J101" i="5"/>
  <c r="I101" i="5"/>
  <c r="G101" i="5"/>
  <c r="K100" i="5"/>
  <c r="J100" i="5"/>
  <c r="I100" i="5"/>
  <c r="G100" i="5"/>
  <c r="K99" i="5"/>
  <c r="J99" i="5"/>
  <c r="I99" i="5"/>
  <c r="G99" i="5"/>
  <c r="K98" i="5"/>
  <c r="J98" i="5"/>
  <c r="I98" i="5"/>
  <c r="G98" i="5"/>
  <c r="K97" i="5"/>
  <c r="J97" i="5"/>
  <c r="I97" i="5"/>
  <c r="G97" i="5"/>
  <c r="K96" i="5"/>
  <c r="J96" i="5"/>
  <c r="I96" i="5"/>
  <c r="G96" i="5"/>
  <c r="K95" i="5"/>
  <c r="J95" i="5"/>
  <c r="I95" i="5"/>
  <c r="G95" i="5"/>
  <c r="K94" i="5"/>
  <c r="J94" i="5"/>
  <c r="I94" i="5"/>
  <c r="G94" i="5"/>
  <c r="K93" i="5"/>
  <c r="J93" i="5"/>
  <c r="I93" i="5"/>
  <c r="G93" i="5"/>
  <c r="K92" i="5"/>
  <c r="J92" i="5"/>
  <c r="I92" i="5"/>
  <c r="G92" i="5"/>
  <c r="K91" i="5"/>
  <c r="J91" i="5"/>
  <c r="I91" i="5"/>
  <c r="G91" i="5"/>
  <c r="K90" i="5"/>
  <c r="J90" i="5"/>
  <c r="I90" i="5"/>
  <c r="G90" i="5"/>
  <c r="K89" i="5"/>
  <c r="J89" i="5"/>
  <c r="I89" i="5"/>
  <c r="G89" i="5"/>
  <c r="K88" i="5"/>
  <c r="J88" i="5"/>
  <c r="I88" i="5"/>
  <c r="G88" i="5"/>
  <c r="K87" i="5"/>
  <c r="J87" i="5"/>
  <c r="I87" i="5"/>
  <c r="G87" i="5"/>
  <c r="K86" i="5"/>
  <c r="J86" i="5"/>
  <c r="I86" i="5"/>
  <c r="G86" i="5"/>
  <c r="K85" i="5"/>
  <c r="J85" i="5"/>
  <c r="I85" i="5"/>
  <c r="G85" i="5"/>
  <c r="K84" i="5"/>
  <c r="J84" i="5"/>
  <c r="I84" i="5"/>
  <c r="G84" i="5"/>
  <c r="K83" i="5"/>
  <c r="J83" i="5"/>
  <c r="I83" i="5"/>
  <c r="G83" i="5"/>
  <c r="K82" i="5"/>
  <c r="J82" i="5"/>
  <c r="I82" i="5"/>
  <c r="G82" i="5"/>
  <c r="K81" i="5"/>
  <c r="J81" i="5"/>
  <c r="I81" i="5"/>
  <c r="G81" i="5"/>
  <c r="K80" i="5"/>
  <c r="J80" i="5"/>
  <c r="I80" i="5"/>
  <c r="G80" i="5"/>
  <c r="K79" i="5"/>
  <c r="J79" i="5"/>
  <c r="I79" i="5"/>
  <c r="G79" i="5"/>
  <c r="K78" i="5"/>
  <c r="J78" i="5"/>
  <c r="I78" i="5"/>
  <c r="G78" i="5"/>
  <c r="K77" i="5"/>
  <c r="J77" i="5"/>
  <c r="I77" i="5"/>
  <c r="G77" i="5"/>
  <c r="K76" i="5"/>
  <c r="J76" i="5"/>
  <c r="I76" i="5"/>
  <c r="G76" i="5"/>
  <c r="K75" i="5"/>
  <c r="J75" i="5"/>
  <c r="I75" i="5"/>
  <c r="G75" i="5"/>
  <c r="K74" i="5"/>
  <c r="J74" i="5"/>
  <c r="I74" i="5"/>
  <c r="G74" i="5"/>
  <c r="K73" i="5"/>
  <c r="J73" i="5"/>
  <c r="I73" i="5"/>
  <c r="G73" i="5"/>
  <c r="K72" i="5"/>
  <c r="J72" i="5"/>
  <c r="I72" i="5"/>
  <c r="G72" i="5"/>
  <c r="K71" i="5"/>
  <c r="J71" i="5"/>
  <c r="I71" i="5"/>
  <c r="G71" i="5"/>
  <c r="K70" i="5"/>
  <c r="J70" i="5"/>
  <c r="I70" i="5"/>
  <c r="G70" i="5"/>
  <c r="K69" i="5"/>
  <c r="J69" i="5"/>
  <c r="I69" i="5"/>
  <c r="G69" i="5"/>
  <c r="K68" i="5"/>
  <c r="J68" i="5"/>
  <c r="I68" i="5"/>
  <c r="G68" i="5"/>
  <c r="K67" i="5"/>
  <c r="J67" i="5"/>
  <c r="I67" i="5"/>
  <c r="G67" i="5"/>
  <c r="K66" i="5"/>
  <c r="J66" i="5"/>
  <c r="I66" i="5"/>
  <c r="G66" i="5"/>
  <c r="K65" i="5"/>
  <c r="J65" i="5"/>
  <c r="I65" i="5"/>
  <c r="G65" i="5"/>
  <c r="K64" i="5"/>
  <c r="G64" i="5"/>
  <c r="K63" i="5"/>
  <c r="G63" i="5"/>
  <c r="K62" i="5"/>
  <c r="G62" i="5"/>
  <c r="K61" i="5"/>
  <c r="G61" i="5"/>
  <c r="K60" i="5"/>
  <c r="K59" i="5"/>
  <c r="K58" i="5"/>
  <c r="G58" i="5"/>
  <c r="K57" i="5"/>
  <c r="G57" i="5"/>
  <c r="K56" i="5"/>
  <c r="G56" i="5"/>
  <c r="K55" i="5"/>
  <c r="K54" i="5"/>
  <c r="K53" i="5"/>
  <c r="G53" i="5"/>
  <c r="K52" i="5"/>
  <c r="G52" i="5"/>
  <c r="K51" i="5"/>
  <c r="G51" i="5"/>
  <c r="K50" i="5"/>
  <c r="G50" i="5"/>
  <c r="K49" i="5"/>
  <c r="G49" i="5"/>
  <c r="K48" i="5"/>
  <c r="G48" i="5"/>
  <c r="K47" i="5"/>
  <c r="G47" i="5"/>
  <c r="K46" i="5"/>
  <c r="G46" i="5"/>
  <c r="K45" i="5"/>
  <c r="G45" i="5"/>
  <c r="K44" i="5"/>
  <c r="J44" i="5"/>
  <c r="I44" i="5"/>
  <c r="G44" i="5"/>
  <c r="K43" i="5"/>
  <c r="G43" i="5"/>
  <c r="K42" i="5"/>
  <c r="G42" i="5"/>
  <c r="K41" i="5"/>
  <c r="G41" i="5"/>
  <c r="K40" i="5"/>
  <c r="G40" i="5"/>
  <c r="K39" i="5"/>
  <c r="G39" i="5"/>
  <c r="K38" i="5"/>
  <c r="G38" i="5"/>
  <c r="K37" i="5"/>
  <c r="G37" i="5"/>
  <c r="K36" i="5"/>
  <c r="G36" i="5"/>
  <c r="K35" i="5"/>
  <c r="K34" i="5"/>
  <c r="G34" i="5"/>
  <c r="K33" i="5"/>
  <c r="G33" i="5"/>
  <c r="K32" i="5"/>
  <c r="G32" i="5"/>
  <c r="K31" i="5"/>
  <c r="G31" i="5"/>
  <c r="K30" i="5"/>
  <c r="G30" i="5"/>
  <c r="K29" i="5"/>
  <c r="G29" i="5"/>
  <c r="K28" i="5"/>
  <c r="G28" i="5"/>
  <c r="K27" i="5"/>
  <c r="G27" i="5"/>
  <c r="K26" i="5"/>
  <c r="G26" i="5"/>
  <c r="K25" i="5"/>
  <c r="G25" i="5"/>
  <c r="K24" i="5"/>
  <c r="G24" i="5"/>
  <c r="K23" i="5"/>
  <c r="G23" i="5"/>
  <c r="K22" i="5"/>
  <c r="G22" i="5"/>
  <c r="K21" i="5"/>
  <c r="G21" i="5"/>
  <c r="K20" i="5"/>
  <c r="G20" i="5"/>
  <c r="K19" i="5"/>
  <c r="G19" i="5"/>
  <c r="K18" i="5"/>
  <c r="G18" i="5"/>
  <c r="K17" i="5"/>
  <c r="G17" i="5"/>
  <c r="K16" i="5"/>
  <c r="G16" i="5"/>
  <c r="K15" i="5"/>
  <c r="K14" i="5"/>
  <c r="K13" i="5"/>
  <c r="K12" i="5"/>
  <c r="K11" i="5"/>
  <c r="K10" i="5"/>
  <c r="K9" i="5"/>
  <c r="K8" i="5"/>
  <c r="K7" i="5"/>
  <c r="K6" i="5"/>
  <c r="G60" i="5"/>
  <c r="G55" i="5"/>
  <c r="J64" i="5"/>
  <c r="J63" i="5"/>
  <c r="J62" i="5"/>
  <c r="J61" i="5"/>
  <c r="J60" i="5"/>
  <c r="J58" i="5"/>
  <c r="J57" i="5"/>
  <c r="J56" i="5"/>
  <c r="J53" i="5"/>
  <c r="J52" i="5"/>
  <c r="J51" i="5"/>
  <c r="J50" i="5"/>
  <c r="J49" i="5"/>
  <c r="J48" i="5"/>
  <c r="J47" i="5"/>
  <c r="J46" i="5"/>
  <c r="J45" i="5"/>
  <c r="J43" i="5"/>
  <c r="J42" i="5"/>
  <c r="J41" i="5"/>
  <c r="J40" i="5"/>
  <c r="J39" i="5"/>
  <c r="J38" i="5"/>
  <c r="J37" i="5"/>
  <c r="J36" i="5"/>
  <c r="J34" i="5"/>
  <c r="J33" i="5"/>
  <c r="J32" i="5"/>
  <c r="J31" i="5"/>
  <c r="J30" i="5"/>
  <c r="J29" i="5"/>
  <c r="J28" i="5"/>
  <c r="J27" i="5"/>
  <c r="J26" i="5"/>
  <c r="J25" i="5"/>
  <c r="J24" i="5"/>
  <c r="J23" i="5"/>
  <c r="J22" i="5"/>
  <c r="J21" i="5"/>
  <c r="J20" i="5"/>
  <c r="J19" i="5"/>
  <c r="J18" i="5"/>
  <c r="J17" i="5"/>
  <c r="J16" i="5"/>
  <c r="I64" i="5"/>
  <c r="I60" i="5"/>
  <c r="I58" i="5"/>
  <c r="I57" i="5"/>
  <c r="J53" i="11"/>
  <c r="I51" i="5"/>
  <c r="I49" i="5"/>
  <c r="I48" i="5"/>
  <c r="I47" i="5"/>
  <c r="I46" i="5"/>
  <c r="I45" i="5"/>
  <c r="I43" i="5"/>
  <c r="I42" i="5"/>
  <c r="I41" i="5"/>
  <c r="I34" i="5"/>
  <c r="I33" i="5"/>
  <c r="I32" i="5"/>
  <c r="I31" i="5"/>
  <c r="I28" i="5"/>
  <c r="I27" i="5"/>
  <c r="I26" i="5"/>
  <c r="I25" i="5"/>
  <c r="I24" i="5"/>
  <c r="I23" i="5"/>
  <c r="I22" i="5"/>
  <c r="I21" i="5"/>
  <c r="I20" i="5"/>
  <c r="I19" i="5"/>
  <c r="I16" i="5"/>
  <c r="C5" i="19"/>
  <c r="B5" i="19"/>
  <c r="B4" i="19"/>
  <c r="C4" i="19"/>
  <c r="G15" i="5"/>
  <c r="G13" i="5"/>
  <c r="G12" i="5"/>
  <c r="G11" i="5"/>
  <c r="G10" i="5"/>
  <c r="G9" i="5"/>
  <c r="G8" i="5"/>
  <c r="G7" i="5"/>
  <c r="AC33" i="20"/>
  <c r="F33" i="20" s="1"/>
  <c r="AC63" i="20"/>
  <c r="F63" i="11" s="1"/>
  <c r="AB58" i="20"/>
  <c r="E58" i="20" s="1"/>
  <c r="AB57" i="20"/>
  <c r="E57" i="11" s="1"/>
  <c r="AB53" i="20"/>
  <c r="AB49" i="20"/>
  <c r="E49" i="20" s="1"/>
  <c r="AB45" i="20"/>
  <c r="E45" i="20" s="1"/>
  <c r="AB42" i="20"/>
  <c r="AB41" i="20"/>
  <c r="E41" i="11" s="1"/>
  <c r="AB39" i="20"/>
  <c r="E39" i="20" s="1"/>
  <c r="AB38" i="20"/>
  <c r="E38" i="11" s="1"/>
  <c r="AB34" i="20"/>
  <c r="E34" i="11" s="1"/>
  <c r="AB33" i="20"/>
  <c r="AB30" i="20"/>
  <c r="E30" i="20" s="1"/>
  <c r="AB28" i="20"/>
  <c r="E28" i="20" s="1"/>
  <c r="AB25" i="20"/>
  <c r="E25" i="11" s="1"/>
  <c r="AB24" i="20"/>
  <c r="AB21" i="20"/>
  <c r="E21" i="20" s="1"/>
  <c r="AB20" i="20"/>
  <c r="E20" i="20" s="1"/>
  <c r="AB15" i="20"/>
  <c r="E15" i="20" s="1"/>
  <c r="AB14" i="20"/>
  <c r="AB11" i="20"/>
  <c r="E11" i="11" s="1"/>
  <c r="AB10" i="20"/>
  <c r="AB7" i="20"/>
  <c r="E7" i="11" s="1"/>
  <c r="C7" i="5"/>
  <c r="B7" i="5"/>
  <c r="B7" i="11" s="1"/>
  <c r="AC15" i="20"/>
  <c r="AC14" i="20"/>
  <c r="AC24" i="20"/>
  <c r="F24" i="20" s="1"/>
  <c r="AC25" i="20"/>
  <c r="F25" i="11" s="1"/>
  <c r="J13" i="5"/>
  <c r="AC34" i="20"/>
  <c r="F34" i="11" s="1"/>
  <c r="AC7" i="20"/>
  <c r="F7" i="11" s="1"/>
  <c r="AC9" i="20"/>
  <c r="F9" i="20" s="1"/>
  <c r="AB9" i="20"/>
  <c r="AC13" i="20"/>
  <c r="F13" i="11" s="1"/>
  <c r="AB13" i="20"/>
  <c r="E13" i="11" s="1"/>
  <c r="AC19" i="20"/>
  <c r="F19" i="11" s="1"/>
  <c r="AB19" i="20"/>
  <c r="AC23" i="20"/>
  <c r="F23" i="20" s="1"/>
  <c r="AB23" i="20"/>
  <c r="E23" i="11" s="1"/>
  <c r="AC27" i="20"/>
  <c r="F27" i="20" s="1"/>
  <c r="AB27" i="20"/>
  <c r="AC32" i="20"/>
  <c r="F32" i="11" s="1"/>
  <c r="AB32" i="20"/>
  <c r="E32" i="11" s="1"/>
  <c r="AC36" i="20"/>
  <c r="F36" i="11" s="1"/>
  <c r="AB36" i="20"/>
  <c r="AC47" i="20"/>
  <c r="AB47" i="20"/>
  <c r="E47" i="20" s="1"/>
  <c r="AC51" i="20"/>
  <c r="F51" i="20" s="1"/>
  <c r="AB51" i="20"/>
  <c r="E57" i="20"/>
  <c r="AC64" i="20"/>
  <c r="AB64" i="20"/>
  <c r="E64" i="11" s="1"/>
  <c r="I11" i="5"/>
  <c r="AC6" i="20"/>
  <c r="F6" i="11" s="1"/>
  <c r="AB6" i="20"/>
  <c r="E6" i="20" s="1"/>
  <c r="AC43" i="20"/>
  <c r="F43" i="11" s="1"/>
  <c r="AB43" i="20"/>
  <c r="E43" i="11" s="1"/>
  <c r="AC48" i="20"/>
  <c r="AB48" i="20"/>
  <c r="E48" i="20" s="1"/>
  <c r="AC52" i="20"/>
  <c r="F52" i="11" s="1"/>
  <c r="AB52" i="20"/>
  <c r="E52" i="11" s="1"/>
  <c r="AC60" i="20"/>
  <c r="F60" i="11" s="1"/>
  <c r="AB60" i="20"/>
  <c r="E60" i="20" s="1"/>
  <c r="I12" i="5"/>
  <c r="AC59" i="20"/>
  <c r="F59" i="11" s="1"/>
  <c r="AB59" i="20"/>
  <c r="E59" i="11" s="1"/>
  <c r="AC10" i="20"/>
  <c r="AC20" i="20"/>
  <c r="F20" i="11" s="1"/>
  <c r="AC28" i="20"/>
  <c r="AC38" i="20"/>
  <c r="F38" i="20" s="1"/>
  <c r="AC61" i="20"/>
  <c r="AB61" i="20"/>
  <c r="E61" i="11" s="1"/>
  <c r="I7" i="5"/>
  <c r="J8" i="5"/>
  <c r="AC8" i="20"/>
  <c r="AB8" i="20"/>
  <c r="E8" i="20" s="1"/>
  <c r="AC12" i="20"/>
  <c r="F12" i="20" s="1"/>
  <c r="AB12" i="20"/>
  <c r="E12" i="11" s="1"/>
  <c r="AC16" i="20"/>
  <c r="AB16" i="20"/>
  <c r="E16" i="11" s="1"/>
  <c r="AC22" i="20"/>
  <c r="AB22" i="20"/>
  <c r="E22" i="20" s="1"/>
  <c r="AC26" i="20"/>
  <c r="F26" i="20" s="1"/>
  <c r="AB26" i="20"/>
  <c r="E26" i="11" s="1"/>
  <c r="AC31" i="20"/>
  <c r="AB31" i="20"/>
  <c r="E31" i="11" s="1"/>
  <c r="AC35" i="20"/>
  <c r="AB35" i="20"/>
  <c r="E35" i="11" s="1"/>
  <c r="AC46" i="20"/>
  <c r="F46" i="20" s="1"/>
  <c r="AB46" i="20"/>
  <c r="E46" i="20" s="1"/>
  <c r="AC50" i="20"/>
  <c r="F50" i="11" s="1"/>
  <c r="AB50" i="20"/>
  <c r="E50" i="20" s="1"/>
  <c r="AC55" i="20"/>
  <c r="F55" i="11" s="1"/>
  <c r="AB55" i="20"/>
  <c r="E55" i="20" s="1"/>
  <c r="AB63" i="20"/>
  <c r="E63" i="11" s="1"/>
  <c r="AC11" i="20"/>
  <c r="AC21" i="20"/>
  <c r="F21" i="11" s="1"/>
  <c r="AC30" i="20"/>
  <c r="F30" i="20" s="1"/>
  <c r="AC39" i="20"/>
  <c r="F39" i="20" s="1"/>
  <c r="AC62" i="20"/>
  <c r="AB62" i="20"/>
  <c r="E62" i="20" s="1"/>
  <c r="I8" i="5"/>
  <c r="J9" i="5"/>
  <c r="AC54" i="20"/>
  <c r="F54" i="20" s="1"/>
  <c r="AB54" i="20"/>
  <c r="E54" i="11" s="1"/>
  <c r="J12" i="5"/>
  <c r="I40" i="5"/>
  <c r="I37" i="5"/>
  <c r="I50" i="5"/>
  <c r="I55" i="5"/>
  <c r="J59" i="5"/>
  <c r="G59" i="5"/>
  <c r="I15" i="5"/>
  <c r="I36" i="5"/>
  <c r="AC49" i="20"/>
  <c r="F49" i="11" s="1"/>
  <c r="I9" i="5"/>
  <c r="I13" i="5"/>
  <c r="I17" i="5"/>
  <c r="I29" i="5"/>
  <c r="I38" i="5"/>
  <c r="I56" i="5"/>
  <c r="I61" i="5"/>
  <c r="J10" i="5"/>
  <c r="J54" i="5"/>
  <c r="G54" i="5"/>
  <c r="L53" i="11"/>
  <c r="I53" i="5"/>
  <c r="I63" i="5"/>
  <c r="I10" i="5"/>
  <c r="I18" i="5"/>
  <c r="I30" i="5"/>
  <c r="I39" i="5"/>
  <c r="I52" i="5"/>
  <c r="I62" i="5"/>
  <c r="J7" i="5"/>
  <c r="J11" i="5"/>
  <c r="J15" i="5"/>
  <c r="J55" i="5"/>
  <c r="I35" i="5"/>
  <c r="G35" i="5"/>
  <c r="I59" i="5"/>
  <c r="I54" i="5"/>
  <c r="J35" i="5"/>
  <c r="AC58" i="20"/>
  <c r="F58" i="20" s="1"/>
  <c r="AC57" i="20"/>
  <c r="F57" i="11" s="1"/>
  <c r="AC53" i="20"/>
  <c r="F53" i="11" s="1"/>
  <c r="AC45" i="20"/>
  <c r="F45" i="11" s="1"/>
  <c r="AC42" i="20"/>
  <c r="F42" i="11" s="1"/>
  <c r="AC41" i="20"/>
  <c r="F41" i="20" s="1"/>
  <c r="F6" i="20"/>
  <c r="G13" i="6"/>
  <c r="G6" i="5"/>
  <c r="I6" i="5"/>
  <c r="J6" i="5"/>
  <c r="G14" i="5"/>
  <c r="I14" i="5"/>
  <c r="J14" i="5"/>
  <c r="B83" i="7"/>
  <c r="B82" i="7"/>
  <c r="B81" i="7"/>
  <c r="B80" i="7"/>
  <c r="B79" i="7"/>
  <c r="B78" i="7"/>
  <c r="AK113" i="11"/>
  <c r="AK112" i="11"/>
  <c r="AK111" i="11"/>
  <c r="AK110" i="11"/>
  <c r="AK109" i="11"/>
  <c r="AK108" i="11"/>
  <c r="AK107" i="11"/>
  <c r="J13" i="6"/>
  <c r="D13" i="6"/>
  <c r="AM3" i="11"/>
  <c r="AL8" i="11"/>
  <c r="AL9" i="11" s="1"/>
  <c r="A38" i="9"/>
  <c r="A37" i="9"/>
  <c r="A36" i="9"/>
  <c r="A30" i="9"/>
  <c r="Q66" i="7"/>
  <c r="Q58" i="7"/>
  <c r="F58" i="7"/>
  <c r="Q65" i="7"/>
  <c r="Q57" i="7"/>
  <c r="F57" i="7"/>
  <c r="Q64" i="7"/>
  <c r="Q56" i="7"/>
  <c r="F56" i="7"/>
  <c r="Q63" i="7"/>
  <c r="Q55" i="7"/>
  <c r="F55" i="7"/>
  <c r="Q62" i="7"/>
  <c r="Q54" i="7"/>
  <c r="F54" i="7"/>
  <c r="Q61" i="7"/>
  <c r="Q53" i="7"/>
  <c r="F53" i="7"/>
  <c r="P66" i="7"/>
  <c r="E58" i="7"/>
  <c r="E57" i="7"/>
  <c r="E56" i="7"/>
  <c r="E55" i="7"/>
  <c r="E54" i="7"/>
  <c r="E53" i="7"/>
  <c r="D58" i="7"/>
  <c r="O57" i="7"/>
  <c r="D57" i="7"/>
  <c r="D56" i="7"/>
  <c r="O55" i="7"/>
  <c r="D55" i="7"/>
  <c r="D54" i="7"/>
  <c r="O53" i="7"/>
  <c r="D53" i="7"/>
  <c r="N58" i="7"/>
  <c r="C58" i="7"/>
  <c r="C57" i="7"/>
  <c r="N64" i="7"/>
  <c r="N56" i="7"/>
  <c r="C56" i="7"/>
  <c r="C55" i="7"/>
  <c r="C54" i="7"/>
  <c r="C53" i="7"/>
  <c r="F31" i="7"/>
  <c r="F30" i="7"/>
  <c r="F29" i="7"/>
  <c r="E34" i="7"/>
  <c r="E32" i="7"/>
  <c r="D31" i="7"/>
  <c r="C34" i="7"/>
  <c r="C32" i="7"/>
  <c r="F77" i="7"/>
  <c r="F86" i="7" s="1"/>
  <c r="E68" i="7"/>
  <c r="E77" i="7" s="1"/>
  <c r="E86" i="7" s="1"/>
  <c r="D68" i="7"/>
  <c r="D77" i="7" s="1"/>
  <c r="D86" i="7" s="1"/>
  <c r="F119" i="10"/>
  <c r="F6" i="7" s="1"/>
  <c r="F115" i="10"/>
  <c r="F5" i="7" s="1"/>
  <c r="C68" i="7"/>
  <c r="C77" i="7" s="1"/>
  <c r="C86" i="7" s="1"/>
  <c r="E30" i="7"/>
  <c r="C30" i="7"/>
  <c r="F4" i="5"/>
  <c r="B12" i="10"/>
  <c r="C12" i="10"/>
  <c r="B13" i="10"/>
  <c r="B14" i="10"/>
  <c r="B15" i="10"/>
  <c r="B11" i="10"/>
  <c r="A2" i="10"/>
  <c r="AM6" i="11"/>
  <c r="C56" i="1"/>
  <c r="C40" i="1"/>
  <c r="B40" i="21"/>
  <c r="B39" i="21"/>
  <c r="B38" i="21"/>
  <c r="B37" i="21"/>
  <c r="B36" i="21"/>
  <c r="B35" i="21"/>
  <c r="B34" i="21"/>
  <c r="B33" i="21"/>
  <c r="B32" i="21"/>
  <c r="B31" i="21"/>
  <c r="B27" i="21"/>
  <c r="B26" i="21"/>
  <c r="B25" i="21"/>
  <c r="B24" i="21"/>
  <c r="B23" i="21"/>
  <c r="B22" i="21"/>
  <c r="B21" i="21"/>
  <c r="B20" i="21"/>
  <c r="B19" i="21"/>
  <c r="B18" i="21"/>
  <c r="B14" i="21"/>
  <c r="B13" i="21"/>
  <c r="B12" i="21"/>
  <c r="B11" i="21"/>
  <c r="B10" i="21"/>
  <c r="B9" i="21"/>
  <c r="B8" i="21"/>
  <c r="B7" i="21"/>
  <c r="B6" i="21"/>
  <c r="B5" i="21"/>
  <c r="D2" i="21"/>
  <c r="E2" i="21" s="1"/>
  <c r="F2" i="21" s="1"/>
  <c r="C2" i="21"/>
  <c r="B105" i="20"/>
  <c r="K105" i="20" s="1"/>
  <c r="B104" i="20"/>
  <c r="B103" i="20"/>
  <c r="I103" i="20" s="1"/>
  <c r="B102" i="20"/>
  <c r="J102" i="20" s="1"/>
  <c r="B101" i="20"/>
  <c r="H101" i="20" s="1"/>
  <c r="B100" i="20"/>
  <c r="C100" i="20" s="1"/>
  <c r="B99" i="20"/>
  <c r="J99" i="20" s="1"/>
  <c r="B98" i="20"/>
  <c r="J98" i="20" s="1"/>
  <c r="B97" i="20"/>
  <c r="K97" i="20" s="1"/>
  <c r="B96" i="20"/>
  <c r="M2" i="20"/>
  <c r="N2" i="20" s="1"/>
  <c r="O2" i="20" s="1"/>
  <c r="L2" i="20"/>
  <c r="C103" i="19"/>
  <c r="B103" i="19"/>
  <c r="C102" i="19"/>
  <c r="B102" i="19"/>
  <c r="C101" i="19"/>
  <c r="B101" i="19"/>
  <c r="C100" i="19"/>
  <c r="B100" i="19"/>
  <c r="C99" i="19"/>
  <c r="B99" i="19"/>
  <c r="C98" i="19"/>
  <c r="B98" i="19"/>
  <c r="C97" i="19"/>
  <c r="B97" i="19"/>
  <c r="C96" i="19"/>
  <c r="B96" i="19"/>
  <c r="C95" i="19"/>
  <c r="B95" i="19"/>
  <c r="C94" i="19"/>
  <c r="B94" i="19"/>
  <c r="C93" i="19"/>
  <c r="B93" i="19"/>
  <c r="C92" i="19"/>
  <c r="B92" i="19"/>
  <c r="C91" i="19"/>
  <c r="B91" i="19"/>
  <c r="C90" i="19"/>
  <c r="B90" i="19"/>
  <c r="C89" i="19"/>
  <c r="B89" i="19"/>
  <c r="C88" i="19"/>
  <c r="B88" i="19"/>
  <c r="C87" i="19"/>
  <c r="B87" i="19"/>
  <c r="C86" i="19"/>
  <c r="B86" i="19"/>
  <c r="C85" i="19"/>
  <c r="B85" i="19"/>
  <c r="C84" i="19"/>
  <c r="B84" i="19"/>
  <c r="C83" i="19"/>
  <c r="B83" i="19"/>
  <c r="C82" i="19"/>
  <c r="B82" i="19"/>
  <c r="C81" i="19"/>
  <c r="B81" i="19"/>
  <c r="C80" i="19"/>
  <c r="B80" i="19"/>
  <c r="C79" i="19"/>
  <c r="B79" i="19"/>
  <c r="C78" i="19"/>
  <c r="B78" i="19"/>
  <c r="C77" i="19"/>
  <c r="B77" i="19"/>
  <c r="C76" i="19"/>
  <c r="B76" i="19"/>
  <c r="C75" i="19"/>
  <c r="B75" i="19"/>
  <c r="C74" i="19"/>
  <c r="B74" i="19"/>
  <c r="C73" i="19"/>
  <c r="B73" i="19"/>
  <c r="C72" i="19"/>
  <c r="B72" i="19"/>
  <c r="C71" i="19"/>
  <c r="B71" i="19"/>
  <c r="C70" i="19"/>
  <c r="B70" i="19"/>
  <c r="C69" i="19"/>
  <c r="B69" i="19"/>
  <c r="C68" i="19"/>
  <c r="B68" i="19"/>
  <c r="C67" i="19"/>
  <c r="B67" i="19"/>
  <c r="C66" i="19"/>
  <c r="B66" i="19"/>
  <c r="C65" i="19"/>
  <c r="B65" i="19"/>
  <c r="C64" i="19"/>
  <c r="B64" i="19"/>
  <c r="C63" i="19"/>
  <c r="B63" i="19"/>
  <c r="C62" i="19"/>
  <c r="B62" i="19"/>
  <c r="C61" i="19"/>
  <c r="B61" i="19"/>
  <c r="C60" i="19"/>
  <c r="B60" i="19"/>
  <c r="C59" i="19"/>
  <c r="B59" i="19"/>
  <c r="C58" i="19"/>
  <c r="B58" i="19"/>
  <c r="C57" i="19"/>
  <c r="B57" i="19"/>
  <c r="C56" i="19"/>
  <c r="B56" i="19"/>
  <c r="C55" i="19"/>
  <c r="B55" i="19"/>
  <c r="C54" i="19"/>
  <c r="B54" i="19"/>
  <c r="C53" i="19"/>
  <c r="B53" i="19"/>
  <c r="C52" i="19"/>
  <c r="B52" i="19"/>
  <c r="C51" i="19"/>
  <c r="B51" i="19"/>
  <c r="C50" i="19"/>
  <c r="B50" i="19"/>
  <c r="C49" i="19"/>
  <c r="B49" i="19"/>
  <c r="C48" i="19"/>
  <c r="B48" i="19"/>
  <c r="C47" i="19"/>
  <c r="B47" i="19"/>
  <c r="C46" i="19"/>
  <c r="B46" i="19"/>
  <c r="C45" i="19"/>
  <c r="B45" i="19"/>
  <c r="C44" i="19"/>
  <c r="B44" i="19"/>
  <c r="C43" i="19"/>
  <c r="B43" i="19"/>
  <c r="C42" i="19"/>
  <c r="B42" i="19"/>
  <c r="C41" i="19"/>
  <c r="B41" i="19"/>
  <c r="C40" i="19"/>
  <c r="B40" i="19"/>
  <c r="C39" i="19"/>
  <c r="B39" i="19"/>
  <c r="C38" i="19"/>
  <c r="B38" i="19"/>
  <c r="C37" i="19"/>
  <c r="B37" i="19"/>
  <c r="C36" i="19"/>
  <c r="B36" i="19"/>
  <c r="C35" i="19"/>
  <c r="B35" i="19"/>
  <c r="C34" i="19"/>
  <c r="B34" i="19"/>
  <c r="C33" i="19"/>
  <c r="B33" i="19"/>
  <c r="C32" i="19"/>
  <c r="B32" i="19"/>
  <c r="C31" i="19"/>
  <c r="B31" i="19"/>
  <c r="C30" i="19"/>
  <c r="B30" i="19"/>
  <c r="C29" i="19"/>
  <c r="B29" i="19"/>
  <c r="C28" i="19"/>
  <c r="B28" i="19"/>
  <c r="C27" i="19"/>
  <c r="B27" i="19"/>
  <c r="C26" i="19"/>
  <c r="B26" i="19"/>
  <c r="C25" i="19"/>
  <c r="B25" i="19"/>
  <c r="C24" i="19"/>
  <c r="B24" i="19"/>
  <c r="C23" i="19"/>
  <c r="B23" i="19"/>
  <c r="C22" i="19"/>
  <c r="B22" i="19"/>
  <c r="C21" i="19"/>
  <c r="B21" i="19"/>
  <c r="C20" i="19"/>
  <c r="B20" i="19"/>
  <c r="C19" i="19"/>
  <c r="B19" i="19"/>
  <c r="C18" i="19"/>
  <c r="B18" i="19"/>
  <c r="C17" i="19"/>
  <c r="B17" i="19"/>
  <c r="C16" i="19"/>
  <c r="B16" i="19"/>
  <c r="C15" i="19"/>
  <c r="B15" i="19"/>
  <c r="C14" i="19"/>
  <c r="B14" i="19"/>
  <c r="C13" i="19"/>
  <c r="B13" i="19"/>
  <c r="C12" i="19"/>
  <c r="B12" i="19"/>
  <c r="C11" i="19"/>
  <c r="B11" i="19"/>
  <c r="C10" i="19"/>
  <c r="B10" i="19"/>
  <c r="C9" i="19"/>
  <c r="B9" i="19"/>
  <c r="C8" i="19"/>
  <c r="B8" i="19"/>
  <c r="C7" i="19"/>
  <c r="B7" i="19"/>
  <c r="C6" i="19"/>
  <c r="B6" i="19"/>
  <c r="B73" i="18"/>
  <c r="E73" i="18" s="1"/>
  <c r="D71" i="18"/>
  <c r="E71" i="18" s="1"/>
  <c r="F71" i="18" s="1"/>
  <c r="C71" i="18"/>
  <c r="B49" i="18"/>
  <c r="C49" i="18" s="1"/>
  <c r="D47" i="18"/>
  <c r="E47" i="18" s="1"/>
  <c r="F47" i="18" s="1"/>
  <c r="C47" i="18"/>
  <c r="D21" i="18"/>
  <c r="E21" i="18" s="1"/>
  <c r="F21" i="18" s="1"/>
  <c r="C21" i="18"/>
  <c r="F17" i="18"/>
  <c r="E17" i="18"/>
  <c r="D17" i="18"/>
  <c r="C17" i="18"/>
  <c r="C10" i="18"/>
  <c r="D10" i="18" s="1"/>
  <c r="E10" i="18" s="1"/>
  <c r="F10" i="18" s="1"/>
  <c r="F7" i="18"/>
  <c r="E7" i="18"/>
  <c r="D7" i="18"/>
  <c r="C7" i="18"/>
  <c r="D6" i="18"/>
  <c r="E6" i="18" s="1"/>
  <c r="F6" i="18" s="1"/>
  <c r="D4" i="18"/>
  <c r="E4" i="18" s="1"/>
  <c r="F4" i="18" s="1"/>
  <c r="C4" i="18"/>
  <c r="A2" i="18"/>
  <c r="G201" i="16"/>
  <c r="H201" i="16" s="1"/>
  <c r="G200" i="16"/>
  <c r="H200" i="16" s="1"/>
  <c r="G199" i="16"/>
  <c r="H199" i="16" s="1"/>
  <c r="G198" i="16"/>
  <c r="H198" i="16" s="1"/>
  <c r="G197" i="16"/>
  <c r="H197" i="16" s="1"/>
  <c r="G196" i="16"/>
  <c r="H196" i="16" s="1"/>
  <c r="G195" i="16"/>
  <c r="H195" i="16" s="1"/>
  <c r="G194" i="16"/>
  <c r="H194" i="16" s="1"/>
  <c r="G193" i="16"/>
  <c r="H193" i="16" s="1"/>
  <c r="G192" i="16"/>
  <c r="H192" i="16" s="1"/>
  <c r="G191" i="16"/>
  <c r="H191" i="16" s="1"/>
  <c r="G190" i="16"/>
  <c r="H190" i="16" s="1"/>
  <c r="G189" i="16"/>
  <c r="H189" i="16" s="1"/>
  <c r="G188" i="16"/>
  <c r="H188" i="16" s="1"/>
  <c r="G187" i="16"/>
  <c r="H187" i="16" s="1"/>
  <c r="G186" i="16"/>
  <c r="H186" i="16" s="1"/>
  <c r="G185" i="16"/>
  <c r="H185" i="16" s="1"/>
  <c r="G184" i="16"/>
  <c r="H184" i="16" s="1"/>
  <c r="G183" i="16"/>
  <c r="H183" i="16" s="1"/>
  <c r="G182" i="16"/>
  <c r="H182" i="16" s="1"/>
  <c r="G181" i="16"/>
  <c r="H181" i="16" s="1"/>
  <c r="G180" i="16"/>
  <c r="H180" i="16" s="1"/>
  <c r="G179" i="16"/>
  <c r="H179" i="16" s="1"/>
  <c r="G178" i="16"/>
  <c r="H178" i="16" s="1"/>
  <c r="G177" i="16"/>
  <c r="H177" i="16" s="1"/>
  <c r="G176" i="16"/>
  <c r="H176" i="16" s="1"/>
  <c r="G175" i="16"/>
  <c r="H175" i="16" s="1"/>
  <c r="G174" i="16"/>
  <c r="H174" i="16" s="1"/>
  <c r="G173" i="16"/>
  <c r="H173" i="16" s="1"/>
  <c r="G172" i="16"/>
  <c r="H172" i="16" s="1"/>
  <c r="G171" i="16"/>
  <c r="H171" i="16" s="1"/>
  <c r="G170" i="16"/>
  <c r="H170" i="16" s="1"/>
  <c r="G169" i="16"/>
  <c r="H169" i="16" s="1"/>
  <c r="G168" i="16"/>
  <c r="H168" i="16" s="1"/>
  <c r="G167" i="16"/>
  <c r="H167" i="16" s="1"/>
  <c r="G166" i="16"/>
  <c r="H166" i="16" s="1"/>
  <c r="G165" i="16"/>
  <c r="H165" i="16" s="1"/>
  <c r="G164" i="16"/>
  <c r="H164" i="16" s="1"/>
  <c r="G163" i="16"/>
  <c r="H163" i="16" s="1"/>
  <c r="G162" i="16"/>
  <c r="H162" i="16" s="1"/>
  <c r="G161" i="16"/>
  <c r="H161" i="16" s="1"/>
  <c r="G160" i="16"/>
  <c r="H160" i="16" s="1"/>
  <c r="G159" i="16"/>
  <c r="H159" i="16" s="1"/>
  <c r="G158" i="16"/>
  <c r="H158" i="16" s="1"/>
  <c r="G157" i="16"/>
  <c r="H157" i="16" s="1"/>
  <c r="G156" i="16"/>
  <c r="H156" i="16" s="1"/>
  <c r="G155" i="16"/>
  <c r="H155" i="16" s="1"/>
  <c r="G154" i="16"/>
  <c r="H154" i="16" s="1"/>
  <c r="G153" i="16"/>
  <c r="H153" i="16" s="1"/>
  <c r="G152" i="16"/>
  <c r="H152" i="16" s="1"/>
  <c r="G151" i="16"/>
  <c r="H151" i="16" s="1"/>
  <c r="G150" i="16"/>
  <c r="H150" i="16" s="1"/>
  <c r="G149" i="16"/>
  <c r="H149" i="16" s="1"/>
  <c r="G148" i="16"/>
  <c r="H148" i="16" s="1"/>
  <c r="G147" i="16"/>
  <c r="H147" i="16" s="1"/>
  <c r="G146" i="16"/>
  <c r="H146" i="16" s="1"/>
  <c r="G145" i="16"/>
  <c r="H145" i="16" s="1"/>
  <c r="G144" i="16"/>
  <c r="H144" i="16" s="1"/>
  <c r="G143" i="16"/>
  <c r="H143" i="16" s="1"/>
  <c r="G142" i="16"/>
  <c r="H142" i="16" s="1"/>
  <c r="G141" i="16"/>
  <c r="H141" i="16" s="1"/>
  <c r="G140" i="16"/>
  <c r="H140" i="16" s="1"/>
  <c r="G139" i="16"/>
  <c r="H139" i="16" s="1"/>
  <c r="G138" i="16"/>
  <c r="H138" i="16" s="1"/>
  <c r="G137" i="16"/>
  <c r="H137" i="16" s="1"/>
  <c r="G136" i="16"/>
  <c r="H136" i="16" s="1"/>
  <c r="G135" i="16"/>
  <c r="H135" i="16" s="1"/>
  <c r="G134" i="16"/>
  <c r="H134" i="16" s="1"/>
  <c r="G133" i="16"/>
  <c r="H133" i="16" s="1"/>
  <c r="G132" i="16"/>
  <c r="H132" i="16" s="1"/>
  <c r="G131" i="16"/>
  <c r="H131" i="16" s="1"/>
  <c r="G130" i="16"/>
  <c r="H130" i="16" s="1"/>
  <c r="G129" i="16"/>
  <c r="H129" i="16" s="1"/>
  <c r="G128" i="16"/>
  <c r="H128" i="16" s="1"/>
  <c r="G127" i="16"/>
  <c r="H127" i="16" s="1"/>
  <c r="G126" i="16"/>
  <c r="H126" i="16" s="1"/>
  <c r="G125" i="16"/>
  <c r="H125" i="16" s="1"/>
  <c r="G124" i="16"/>
  <c r="H124" i="16" s="1"/>
  <c r="G123" i="16"/>
  <c r="H123" i="16" s="1"/>
  <c r="G122" i="16"/>
  <c r="H122" i="16" s="1"/>
  <c r="G121" i="16"/>
  <c r="H121" i="16" s="1"/>
  <c r="G120" i="16"/>
  <c r="H120" i="16" s="1"/>
  <c r="G119" i="16"/>
  <c r="H119" i="16" s="1"/>
  <c r="G118" i="16"/>
  <c r="H118" i="16" s="1"/>
  <c r="G117" i="16"/>
  <c r="H117" i="16" s="1"/>
  <c r="G116" i="16"/>
  <c r="H116" i="16" s="1"/>
  <c r="G115" i="16"/>
  <c r="H115" i="16" s="1"/>
  <c r="G114" i="16"/>
  <c r="H114" i="16" s="1"/>
  <c r="G113" i="16"/>
  <c r="H113" i="16" s="1"/>
  <c r="G112" i="16"/>
  <c r="H112" i="16" s="1"/>
  <c r="G111" i="16"/>
  <c r="H111" i="16" s="1"/>
  <c r="G110" i="16"/>
  <c r="H110" i="16" s="1"/>
  <c r="G109" i="16"/>
  <c r="H109" i="16" s="1"/>
  <c r="G108" i="16"/>
  <c r="H108" i="16" s="1"/>
  <c r="G107" i="16"/>
  <c r="H107" i="16" s="1"/>
  <c r="G106" i="16"/>
  <c r="H106" i="16" s="1"/>
  <c r="G105" i="16"/>
  <c r="H105" i="16" s="1"/>
  <c r="G104" i="16"/>
  <c r="H104" i="16" s="1"/>
  <c r="G103" i="16"/>
  <c r="H103" i="16" s="1"/>
  <c r="G102" i="16"/>
  <c r="H102" i="16" s="1"/>
  <c r="G101" i="16"/>
  <c r="H101" i="16" s="1"/>
  <c r="G100" i="16"/>
  <c r="H100" i="16" s="1"/>
  <c r="G99" i="16"/>
  <c r="H99" i="16" s="1"/>
  <c r="G98" i="16"/>
  <c r="H98" i="16" s="1"/>
  <c r="G97" i="16"/>
  <c r="H97" i="16" s="1"/>
  <c r="G96" i="16"/>
  <c r="H96" i="16" s="1"/>
  <c r="G95" i="16"/>
  <c r="H95" i="16" s="1"/>
  <c r="G94" i="16"/>
  <c r="H94" i="16" s="1"/>
  <c r="G93" i="16"/>
  <c r="H93" i="16" s="1"/>
  <c r="G92" i="16"/>
  <c r="H92" i="16" s="1"/>
  <c r="G91" i="16"/>
  <c r="H91" i="16" s="1"/>
  <c r="G90" i="16"/>
  <c r="H90" i="16" s="1"/>
  <c r="G89" i="16"/>
  <c r="H89" i="16" s="1"/>
  <c r="G88" i="16"/>
  <c r="H88" i="16" s="1"/>
  <c r="G87" i="16"/>
  <c r="H87" i="16" s="1"/>
  <c r="G86" i="16"/>
  <c r="H86" i="16" s="1"/>
  <c r="G85" i="16"/>
  <c r="H85" i="16" s="1"/>
  <c r="G84" i="16"/>
  <c r="H84" i="16" s="1"/>
  <c r="G83" i="16"/>
  <c r="H83" i="16" s="1"/>
  <c r="G82" i="16"/>
  <c r="H82" i="16" s="1"/>
  <c r="G81" i="16"/>
  <c r="H81" i="16" s="1"/>
  <c r="G80" i="16"/>
  <c r="H80" i="16" s="1"/>
  <c r="G79" i="16"/>
  <c r="H79" i="16" s="1"/>
  <c r="G78" i="16"/>
  <c r="H78" i="16" s="1"/>
  <c r="G77" i="16"/>
  <c r="H77" i="16" s="1"/>
  <c r="G76" i="16"/>
  <c r="H76" i="16" s="1"/>
  <c r="G75" i="16"/>
  <c r="H75" i="16" s="1"/>
  <c r="G74" i="16"/>
  <c r="H74" i="16" s="1"/>
  <c r="G73" i="16"/>
  <c r="H73" i="16" s="1"/>
  <c r="G72" i="16"/>
  <c r="H72" i="16" s="1"/>
  <c r="G71" i="16"/>
  <c r="H71" i="16" s="1"/>
  <c r="G70" i="16"/>
  <c r="H70" i="16" s="1"/>
  <c r="G69" i="16"/>
  <c r="H69" i="16" s="1"/>
  <c r="G68" i="16"/>
  <c r="H68" i="16" s="1"/>
  <c r="G67" i="16"/>
  <c r="H67" i="16" s="1"/>
  <c r="G66" i="16"/>
  <c r="H66" i="16" s="1"/>
  <c r="G65" i="16"/>
  <c r="H65" i="16" s="1"/>
  <c r="G63" i="16"/>
  <c r="H63" i="16" s="1"/>
  <c r="G62" i="16"/>
  <c r="H62" i="16" s="1"/>
  <c r="G61" i="16"/>
  <c r="H61" i="16" s="1"/>
  <c r="G60" i="16"/>
  <c r="H60" i="16" s="1"/>
  <c r="G59" i="16"/>
  <c r="H59" i="16" s="1"/>
  <c r="G58" i="16"/>
  <c r="H58" i="16" s="1"/>
  <c r="G57" i="16"/>
  <c r="H57" i="16" s="1"/>
  <c r="G56" i="16"/>
  <c r="H56" i="16" s="1"/>
  <c r="G55" i="16"/>
  <c r="H55" i="16" s="1"/>
  <c r="G54" i="16"/>
  <c r="H54" i="16" s="1"/>
  <c r="G53" i="16"/>
  <c r="H53" i="16" s="1"/>
  <c r="G52" i="16"/>
  <c r="H52" i="16" s="1"/>
  <c r="G51" i="16"/>
  <c r="H51" i="16" s="1"/>
  <c r="G50" i="16"/>
  <c r="H50" i="16" s="1"/>
  <c r="G49" i="16"/>
  <c r="H49" i="16" s="1"/>
  <c r="G48" i="16"/>
  <c r="H48" i="16" s="1"/>
  <c r="G47" i="16"/>
  <c r="H47" i="16" s="1"/>
  <c r="G46" i="16"/>
  <c r="H46" i="16" s="1"/>
  <c r="G45" i="16"/>
  <c r="H45" i="16" s="1"/>
  <c r="G44" i="16"/>
  <c r="H44" i="16" s="1"/>
  <c r="G43" i="16"/>
  <c r="H43" i="16" s="1"/>
  <c r="G42" i="16"/>
  <c r="H42" i="16" s="1"/>
  <c r="G41" i="16"/>
  <c r="H41" i="16" s="1"/>
  <c r="G40" i="16"/>
  <c r="H40" i="16" s="1"/>
  <c r="G39" i="16"/>
  <c r="H39" i="16" s="1"/>
  <c r="G38" i="16"/>
  <c r="H38" i="16" s="1"/>
  <c r="G37" i="16"/>
  <c r="H37" i="16" s="1"/>
  <c r="G36" i="16"/>
  <c r="H36" i="16" s="1"/>
  <c r="G35" i="16"/>
  <c r="H35" i="16" s="1"/>
  <c r="G34" i="16"/>
  <c r="H34" i="16" s="1"/>
  <c r="G33" i="16"/>
  <c r="H33" i="16" s="1"/>
  <c r="G32" i="16"/>
  <c r="H32" i="16" s="1"/>
  <c r="G31" i="16"/>
  <c r="H31" i="16" s="1"/>
  <c r="G30" i="16"/>
  <c r="H30" i="16" s="1"/>
  <c r="G29" i="16"/>
  <c r="H29" i="16" s="1"/>
  <c r="G28" i="16"/>
  <c r="H28" i="16" s="1"/>
  <c r="G27" i="16"/>
  <c r="H27" i="16" s="1"/>
  <c r="G26" i="16"/>
  <c r="H26" i="16" s="1"/>
  <c r="G25" i="16"/>
  <c r="H25" i="16" s="1"/>
  <c r="G24" i="16"/>
  <c r="H24" i="16" s="1"/>
  <c r="G23" i="16"/>
  <c r="H23" i="16" s="1"/>
  <c r="G22" i="16"/>
  <c r="H22" i="16" s="1"/>
  <c r="G21" i="16"/>
  <c r="H21" i="16" s="1"/>
  <c r="G20" i="16"/>
  <c r="H20" i="16" s="1"/>
  <c r="G19" i="16"/>
  <c r="H19" i="16" s="1"/>
  <c r="G18" i="16"/>
  <c r="H18" i="16" s="1"/>
  <c r="G17" i="16"/>
  <c r="H17" i="16" s="1"/>
  <c r="G16" i="16"/>
  <c r="H16" i="16" s="1"/>
  <c r="G15" i="16"/>
  <c r="H15" i="16" s="1"/>
  <c r="G14" i="16"/>
  <c r="H14" i="16" s="1"/>
  <c r="G13" i="16"/>
  <c r="H13" i="16" s="1"/>
  <c r="G12" i="16"/>
  <c r="H12" i="16" s="1"/>
  <c r="G11" i="16"/>
  <c r="H11" i="16" s="1"/>
  <c r="G10" i="16"/>
  <c r="H10" i="16" s="1"/>
  <c r="G9" i="16"/>
  <c r="H9" i="16" s="1"/>
  <c r="G8" i="16"/>
  <c r="H8" i="16" s="1"/>
  <c r="G7" i="16"/>
  <c r="H7" i="16" s="1"/>
  <c r="G6" i="16"/>
  <c r="H6" i="16" s="1"/>
  <c r="G5" i="16"/>
  <c r="H5" i="16" s="1"/>
  <c r="H4" i="16"/>
  <c r="G4" i="16"/>
  <c r="B173" i="13"/>
  <c r="C173" i="13" s="1"/>
  <c r="D173" i="13" s="1"/>
  <c r="E173" i="13" s="1"/>
  <c r="F173" i="13" s="1"/>
  <c r="B172" i="13"/>
  <c r="C172" i="13" s="1"/>
  <c r="D172" i="13" s="1"/>
  <c r="E172" i="13" s="1"/>
  <c r="F172" i="13" s="1"/>
  <c r="B171" i="13"/>
  <c r="C171" i="13" s="1"/>
  <c r="D171" i="13" s="1"/>
  <c r="E171" i="13" s="1"/>
  <c r="F171" i="13" s="1"/>
  <c r="B170" i="13"/>
  <c r="C170" i="13" s="1"/>
  <c r="D170" i="13" s="1"/>
  <c r="E170" i="13" s="1"/>
  <c r="F170" i="13" s="1"/>
  <c r="B169" i="13"/>
  <c r="C169" i="13" s="1"/>
  <c r="D169" i="13" s="1"/>
  <c r="E169" i="13" s="1"/>
  <c r="F169" i="13" s="1"/>
  <c r="B168" i="13"/>
  <c r="C168" i="13" s="1"/>
  <c r="D168" i="13" s="1"/>
  <c r="E168" i="13" s="1"/>
  <c r="F168" i="13" s="1"/>
  <c r="B167" i="13"/>
  <c r="C167" i="13" s="1"/>
  <c r="D167" i="13" s="1"/>
  <c r="E167" i="13" s="1"/>
  <c r="F167" i="13" s="1"/>
  <c r="B166" i="13"/>
  <c r="C166" i="13" s="1"/>
  <c r="D166" i="13" s="1"/>
  <c r="E166" i="13" s="1"/>
  <c r="F166" i="13" s="1"/>
  <c r="B165" i="13"/>
  <c r="C165" i="13" s="1"/>
  <c r="D165" i="13" s="1"/>
  <c r="E165" i="13" s="1"/>
  <c r="F165" i="13" s="1"/>
  <c r="B164" i="13"/>
  <c r="C164" i="13" s="1"/>
  <c r="D164" i="13" s="1"/>
  <c r="E164" i="13" s="1"/>
  <c r="F164" i="13" s="1"/>
  <c r="B163" i="13"/>
  <c r="C163" i="13" s="1"/>
  <c r="D163" i="13" s="1"/>
  <c r="E163" i="13" s="1"/>
  <c r="F163" i="13" s="1"/>
  <c r="B162" i="13"/>
  <c r="C162" i="13" s="1"/>
  <c r="D162" i="13" s="1"/>
  <c r="E162" i="13" s="1"/>
  <c r="F162" i="13" s="1"/>
  <c r="B161" i="13"/>
  <c r="C161" i="13" s="1"/>
  <c r="D161" i="13" s="1"/>
  <c r="E161" i="13" s="1"/>
  <c r="F161" i="13" s="1"/>
  <c r="B160" i="13"/>
  <c r="C160" i="13" s="1"/>
  <c r="D160" i="13" s="1"/>
  <c r="E160" i="13" s="1"/>
  <c r="F160" i="13" s="1"/>
  <c r="B159" i="13"/>
  <c r="C159" i="13" s="1"/>
  <c r="D159" i="13" s="1"/>
  <c r="E159" i="13" s="1"/>
  <c r="F159" i="13" s="1"/>
  <c r="B158" i="13"/>
  <c r="C158" i="13" s="1"/>
  <c r="D158" i="13" s="1"/>
  <c r="E158" i="13" s="1"/>
  <c r="F158" i="13" s="1"/>
  <c r="B157" i="13"/>
  <c r="C157" i="13" s="1"/>
  <c r="D157" i="13" s="1"/>
  <c r="E157" i="13" s="1"/>
  <c r="F157" i="13" s="1"/>
  <c r="B156" i="13"/>
  <c r="C156" i="13" s="1"/>
  <c r="D156" i="13" s="1"/>
  <c r="E156" i="13" s="1"/>
  <c r="F156" i="13" s="1"/>
  <c r="B155" i="13"/>
  <c r="C155" i="13" s="1"/>
  <c r="D155" i="13" s="1"/>
  <c r="E155" i="13" s="1"/>
  <c r="F155" i="13" s="1"/>
  <c r="B154" i="13"/>
  <c r="C154" i="13" s="1"/>
  <c r="D154" i="13" s="1"/>
  <c r="E154" i="13" s="1"/>
  <c r="F154" i="13" s="1"/>
  <c r="B153" i="13"/>
  <c r="B152" i="13"/>
  <c r="B151" i="13"/>
  <c r="B150" i="13"/>
  <c r="B149" i="13"/>
  <c r="B148" i="13"/>
  <c r="B147" i="13"/>
  <c r="B146" i="13"/>
  <c r="B145" i="13"/>
  <c r="B144" i="13"/>
  <c r="B143" i="13"/>
  <c r="B142" i="13"/>
  <c r="B141" i="13"/>
  <c r="B140" i="13"/>
  <c r="B139" i="13"/>
  <c r="B138" i="13"/>
  <c r="B137" i="13"/>
  <c r="B136" i="13"/>
  <c r="B135" i="13"/>
  <c r="B134" i="13"/>
  <c r="B133" i="13"/>
  <c r="B132" i="13"/>
  <c r="B131" i="13"/>
  <c r="B130" i="13"/>
  <c r="B129" i="13"/>
  <c r="B128" i="13"/>
  <c r="B127" i="13"/>
  <c r="B126" i="13"/>
  <c r="B125" i="13"/>
  <c r="B124" i="13"/>
  <c r="B123" i="13"/>
  <c r="B122" i="13"/>
  <c r="B121" i="13"/>
  <c r="B120" i="13"/>
  <c r="B119" i="13"/>
  <c r="B118" i="13"/>
  <c r="B117" i="13"/>
  <c r="B116" i="13"/>
  <c r="B115" i="13"/>
  <c r="B114" i="13"/>
  <c r="B113" i="13"/>
  <c r="B112" i="13"/>
  <c r="B111" i="13"/>
  <c r="B110" i="13"/>
  <c r="B109" i="13"/>
  <c r="B108" i="13"/>
  <c r="B107" i="13"/>
  <c r="B106" i="13"/>
  <c r="B105" i="13"/>
  <c r="B104" i="13"/>
  <c r="B103" i="13"/>
  <c r="B102" i="13"/>
  <c r="B101" i="13"/>
  <c r="B100" i="13"/>
  <c r="B99" i="13"/>
  <c r="B98" i="13"/>
  <c r="B97" i="13"/>
  <c r="B96" i="13"/>
  <c r="B95" i="13"/>
  <c r="B94" i="13"/>
  <c r="B93" i="13"/>
  <c r="B92" i="13"/>
  <c r="B91" i="13"/>
  <c r="B90" i="13"/>
  <c r="B89" i="13"/>
  <c r="B88" i="13"/>
  <c r="B87" i="13"/>
  <c r="B86" i="13"/>
  <c r="B85" i="13"/>
  <c r="B84" i="13"/>
  <c r="B83" i="13"/>
  <c r="B82" i="13"/>
  <c r="B81" i="13"/>
  <c r="B80" i="13"/>
  <c r="B79" i="13"/>
  <c r="B78" i="13"/>
  <c r="B77" i="13"/>
  <c r="B76" i="13"/>
  <c r="B74" i="13"/>
  <c r="B70" i="13"/>
  <c r="B69" i="13"/>
  <c r="B68" i="13"/>
  <c r="B67" i="13"/>
  <c r="B66" i="13"/>
  <c r="B65" i="13"/>
  <c r="B61" i="13"/>
  <c r="B60" i="13"/>
  <c r="B59" i="13"/>
  <c r="B58" i="13"/>
  <c r="B57" i="13"/>
  <c r="B56" i="13"/>
  <c r="B52" i="13"/>
  <c r="B51" i="13"/>
  <c r="B50" i="13"/>
  <c r="B49" i="13"/>
  <c r="B48" i="13"/>
  <c r="B47" i="13"/>
  <c r="B42" i="13"/>
  <c r="B41" i="13"/>
  <c r="B40" i="13"/>
  <c r="B39" i="13"/>
  <c r="B38" i="13"/>
  <c r="B37" i="13"/>
  <c r="B32" i="13"/>
  <c r="B31" i="13"/>
  <c r="B30" i="13"/>
  <c r="B29" i="13"/>
  <c r="B28" i="13"/>
  <c r="B27" i="13"/>
  <c r="B22" i="13"/>
  <c r="B21" i="13"/>
  <c r="B20" i="13"/>
  <c r="B19" i="13"/>
  <c r="B18" i="13"/>
  <c r="B17" i="13"/>
  <c r="B12" i="13"/>
  <c r="B11" i="13"/>
  <c r="B10" i="13"/>
  <c r="B9" i="13"/>
  <c r="B8" i="13"/>
  <c r="B7" i="13"/>
  <c r="D4" i="13"/>
  <c r="E4" i="13" s="1"/>
  <c r="F4" i="13" s="1"/>
  <c r="C4" i="13"/>
  <c r="A2" i="13"/>
  <c r="B33" i="12"/>
  <c r="B31" i="12"/>
  <c r="B30" i="12"/>
  <c r="B29" i="12"/>
  <c r="B28" i="12"/>
  <c r="B27" i="12"/>
  <c r="B26" i="12"/>
  <c r="B23" i="12"/>
  <c r="B22" i="12"/>
  <c r="B21" i="12"/>
  <c r="B20" i="12"/>
  <c r="B19" i="12"/>
  <c r="B18" i="12"/>
  <c r="B13" i="12"/>
  <c r="B12" i="12"/>
  <c r="B11" i="12"/>
  <c r="B10" i="12"/>
  <c r="B9" i="12"/>
  <c r="B8" i="12"/>
  <c r="D4" i="12"/>
  <c r="E4" i="12" s="1"/>
  <c r="F4" i="12" s="1"/>
  <c r="C4" i="12"/>
  <c r="B105" i="11"/>
  <c r="H105" i="11" s="1"/>
  <c r="B104" i="11"/>
  <c r="C104" i="11" s="1"/>
  <c r="B103" i="11"/>
  <c r="AK104" i="11" s="1"/>
  <c r="B102" i="11"/>
  <c r="B111" i="6" s="1"/>
  <c r="B101" i="11"/>
  <c r="C101" i="11" s="1"/>
  <c r="AK102" i="11"/>
  <c r="B100" i="11"/>
  <c r="AK101" i="11" s="1"/>
  <c r="B99" i="11"/>
  <c r="AK100" i="11" s="1"/>
  <c r="B98" i="11"/>
  <c r="AK99" i="11" s="1"/>
  <c r="B97" i="11"/>
  <c r="C97" i="11" s="1"/>
  <c r="B96" i="11"/>
  <c r="AK97" i="11" s="1"/>
  <c r="J2" i="11"/>
  <c r="K2" i="11" s="1"/>
  <c r="L2" i="11" s="1"/>
  <c r="I2" i="11"/>
  <c r="B135" i="10"/>
  <c r="B131" i="10"/>
  <c r="B127" i="10"/>
  <c r="B123" i="10"/>
  <c r="B119" i="10"/>
  <c r="B115" i="10"/>
  <c r="B111" i="10"/>
  <c r="B110" i="10"/>
  <c r="B109" i="10"/>
  <c r="B108" i="10"/>
  <c r="B107" i="10"/>
  <c r="B106" i="10"/>
  <c r="C105" i="10"/>
  <c r="D105" i="10" s="1"/>
  <c r="E105" i="10" s="1"/>
  <c r="F105" i="10" s="1"/>
  <c r="B102" i="10"/>
  <c r="B101" i="10"/>
  <c r="B100" i="10"/>
  <c r="B99" i="10"/>
  <c r="B98" i="10"/>
  <c r="B97" i="10"/>
  <c r="C96" i="10"/>
  <c r="D96" i="10" s="1"/>
  <c r="E96" i="10" s="1"/>
  <c r="F96" i="10" s="1"/>
  <c r="B91" i="10"/>
  <c r="B90" i="10"/>
  <c r="B89" i="10"/>
  <c r="B88" i="10"/>
  <c r="B87" i="10"/>
  <c r="B86" i="10"/>
  <c r="C85" i="10"/>
  <c r="D85" i="10" s="1"/>
  <c r="E85" i="10" s="1"/>
  <c r="F85" i="10" s="1"/>
  <c r="B80" i="10"/>
  <c r="B79" i="10"/>
  <c r="B78" i="10"/>
  <c r="C77" i="10"/>
  <c r="B77" i="10"/>
  <c r="B76" i="10"/>
  <c r="C71" i="10"/>
  <c r="A91" i="10" s="1"/>
  <c r="A12" i="13" s="1"/>
  <c r="B71" i="10"/>
  <c r="F74" i="10" s="1"/>
  <c r="B67" i="10"/>
  <c r="B66" i="10"/>
  <c r="B65" i="10"/>
  <c r="C64" i="10"/>
  <c r="B64" i="10"/>
  <c r="B63" i="10"/>
  <c r="C58" i="10"/>
  <c r="A90" i="10" s="1"/>
  <c r="A11" i="13" s="1"/>
  <c r="B58" i="10"/>
  <c r="E61" i="10" s="1"/>
  <c r="E63" i="10" s="1"/>
  <c r="B54" i="10"/>
  <c r="B53" i="10"/>
  <c r="B52" i="10"/>
  <c r="C51" i="10"/>
  <c r="B51" i="10"/>
  <c r="B50" i="10"/>
  <c r="C45" i="10"/>
  <c r="A89" i="10" s="1"/>
  <c r="A10" i="13" s="1"/>
  <c r="B45" i="10"/>
  <c r="B41" i="10"/>
  <c r="B40" i="10"/>
  <c r="B39" i="10"/>
  <c r="C38" i="10"/>
  <c r="B38" i="10"/>
  <c r="B37" i="10"/>
  <c r="C32" i="10"/>
  <c r="A88" i="10" s="1"/>
  <c r="A9" i="13" s="1"/>
  <c r="B32" i="10"/>
  <c r="B28" i="10"/>
  <c r="B27" i="10"/>
  <c r="B26" i="10"/>
  <c r="C25" i="10"/>
  <c r="B25" i="10"/>
  <c r="B24" i="10"/>
  <c r="C19" i="10"/>
  <c r="A87" i="10" s="1"/>
  <c r="A8" i="13" s="1"/>
  <c r="B19" i="10"/>
  <c r="C6" i="10"/>
  <c r="A86" i="10" s="1"/>
  <c r="A7" i="13" s="1"/>
  <c r="B6" i="10"/>
  <c r="D4" i="10"/>
  <c r="D4" i="7" s="1"/>
  <c r="C4" i="10"/>
  <c r="C4" i="7" s="1"/>
  <c r="A32" i="9"/>
  <c r="A31" i="9"/>
  <c r="A29" i="9"/>
  <c r="A28" i="9"/>
  <c r="A27" i="9"/>
  <c r="B74" i="7"/>
  <c r="B73" i="7"/>
  <c r="B72" i="7"/>
  <c r="B71" i="7"/>
  <c r="B70" i="7"/>
  <c r="B69" i="7"/>
  <c r="B66" i="7"/>
  <c r="B65" i="7"/>
  <c r="B64" i="7"/>
  <c r="B63" i="7"/>
  <c r="B62" i="7"/>
  <c r="B61" i="7"/>
  <c r="B58" i="7"/>
  <c r="B57" i="7"/>
  <c r="B56" i="7"/>
  <c r="B55" i="7"/>
  <c r="B54" i="7"/>
  <c r="B53" i="7"/>
  <c r="B50" i="7"/>
  <c r="B49" i="7"/>
  <c r="B48" i="7"/>
  <c r="B47" i="7"/>
  <c r="B46" i="7"/>
  <c r="B45" i="7"/>
  <c r="B42" i="7"/>
  <c r="B41" i="7"/>
  <c r="B40" i="7"/>
  <c r="B39" i="7"/>
  <c r="B37" i="7"/>
  <c r="B34" i="7"/>
  <c r="B33" i="7"/>
  <c r="B32" i="7"/>
  <c r="B31" i="7"/>
  <c r="B30" i="7"/>
  <c r="B29" i="7"/>
  <c r="B26" i="7"/>
  <c r="B25" i="7"/>
  <c r="B24" i="7"/>
  <c r="B23" i="7"/>
  <c r="B22" i="7"/>
  <c r="B21" i="7"/>
  <c r="B18" i="7"/>
  <c r="B17" i="7"/>
  <c r="B16" i="7"/>
  <c r="B15" i="7"/>
  <c r="B14" i="7"/>
  <c r="B13" i="7"/>
  <c r="B10" i="7"/>
  <c r="B9" i="7"/>
  <c r="H8" i="7"/>
  <c r="B8" i="7"/>
  <c r="H7" i="7"/>
  <c r="B7" i="7"/>
  <c r="H6" i="7"/>
  <c r="B6" i="7"/>
  <c r="H5" i="7"/>
  <c r="B5" i="7"/>
  <c r="H4" i="7"/>
  <c r="H3" i="7"/>
  <c r="B7" i="6"/>
  <c r="B6" i="6"/>
  <c r="C105" i="5"/>
  <c r="B105" i="5"/>
  <c r="B95" i="20" s="1"/>
  <c r="C104" i="5"/>
  <c r="B104" i="5"/>
  <c r="F104" i="5" s="1"/>
  <c r="C103" i="5"/>
  <c r="B103" i="5"/>
  <c r="C102" i="5"/>
  <c r="B102" i="5"/>
  <c r="D102" i="5" s="1"/>
  <c r="C101" i="5"/>
  <c r="B101" i="5"/>
  <c r="D101" i="5" s="1"/>
  <c r="C100" i="5"/>
  <c r="B100" i="5"/>
  <c r="D100" i="5" s="1"/>
  <c r="C99" i="5"/>
  <c r="B99" i="5"/>
  <c r="D99" i="5" s="1"/>
  <c r="C98" i="5"/>
  <c r="B98" i="5"/>
  <c r="F98" i="5" s="1"/>
  <c r="C97" i="5"/>
  <c r="B97" i="5"/>
  <c r="D97" i="5" s="1"/>
  <c r="C96" i="5"/>
  <c r="B96" i="5"/>
  <c r="F96" i="5" s="1"/>
  <c r="C95" i="5"/>
  <c r="B95" i="5"/>
  <c r="D95" i="5" s="1"/>
  <c r="C94" i="5"/>
  <c r="B94" i="5"/>
  <c r="D94" i="5" s="1"/>
  <c r="C93" i="5"/>
  <c r="B93" i="5"/>
  <c r="B93" i="20" s="1"/>
  <c r="C92" i="5"/>
  <c r="B92" i="5"/>
  <c r="B92" i="11" s="1"/>
  <c r="C91" i="5"/>
  <c r="B91" i="5"/>
  <c r="D91" i="5" s="1"/>
  <c r="C90" i="5"/>
  <c r="B90" i="5"/>
  <c r="D90" i="5" s="1"/>
  <c r="C89" i="5"/>
  <c r="B89" i="5"/>
  <c r="D89" i="5" s="1"/>
  <c r="C88" i="5"/>
  <c r="B88" i="5"/>
  <c r="B88" i="20" s="1"/>
  <c r="C87" i="5"/>
  <c r="B87" i="5"/>
  <c r="D87" i="5" s="1"/>
  <c r="C86" i="5"/>
  <c r="B86" i="5"/>
  <c r="C85" i="5"/>
  <c r="B85" i="5"/>
  <c r="C84" i="5"/>
  <c r="B84" i="5"/>
  <c r="B84" i="11" s="1"/>
  <c r="C83" i="5"/>
  <c r="B83" i="5"/>
  <c r="D83" i="5" s="1"/>
  <c r="C82" i="5"/>
  <c r="B82" i="5"/>
  <c r="C81" i="5"/>
  <c r="B81" i="5"/>
  <c r="D81" i="5" s="1"/>
  <c r="C80" i="5"/>
  <c r="B80" i="5"/>
  <c r="C79" i="5"/>
  <c r="B79" i="5"/>
  <c r="D79" i="5" s="1"/>
  <c r="C78" i="5"/>
  <c r="B78" i="5"/>
  <c r="C77" i="5"/>
  <c r="B77" i="5"/>
  <c r="B77" i="11" s="1"/>
  <c r="C76" i="5"/>
  <c r="B76" i="5"/>
  <c r="D76" i="5" s="1"/>
  <c r="C75" i="5"/>
  <c r="B75" i="5"/>
  <c r="D75" i="5" s="1"/>
  <c r="C74" i="5"/>
  <c r="B74" i="5"/>
  <c r="B74" i="11" s="1"/>
  <c r="C73" i="5"/>
  <c r="B73" i="5"/>
  <c r="D73" i="5" s="1"/>
  <c r="C72" i="5"/>
  <c r="B72" i="5"/>
  <c r="C71" i="5"/>
  <c r="B71" i="5"/>
  <c r="D71" i="5" s="1"/>
  <c r="C70" i="5"/>
  <c r="B70" i="5"/>
  <c r="C69" i="5"/>
  <c r="B69" i="5"/>
  <c r="D69" i="5" s="1"/>
  <c r="C68" i="5"/>
  <c r="B68" i="5"/>
  <c r="B68" i="11" s="1"/>
  <c r="C67" i="5"/>
  <c r="B67" i="5"/>
  <c r="D67" i="5" s="1"/>
  <c r="C66" i="5"/>
  <c r="B66" i="5"/>
  <c r="C65" i="5"/>
  <c r="B65" i="5"/>
  <c r="C64" i="5"/>
  <c r="B64" i="5"/>
  <c r="B64" i="11" s="1"/>
  <c r="AU64" i="11" s="1"/>
  <c r="C63" i="5"/>
  <c r="B63" i="5"/>
  <c r="C62" i="5"/>
  <c r="B62" i="5"/>
  <c r="B62" i="11" s="1"/>
  <c r="C62" i="11" s="1"/>
  <c r="C61" i="5"/>
  <c r="B61" i="5"/>
  <c r="C60" i="5"/>
  <c r="B60" i="5"/>
  <c r="D60" i="5" s="1"/>
  <c r="C59" i="5"/>
  <c r="B59" i="5"/>
  <c r="C58" i="5"/>
  <c r="B58" i="5"/>
  <c r="D58" i="5" s="1"/>
  <c r="C57" i="5"/>
  <c r="B57" i="5"/>
  <c r="C56" i="5"/>
  <c r="B56" i="5"/>
  <c r="C55" i="5"/>
  <c r="B55" i="5"/>
  <c r="B55" i="11" s="1"/>
  <c r="C54" i="5"/>
  <c r="B54" i="5"/>
  <c r="D54" i="5" s="1"/>
  <c r="C53" i="5"/>
  <c r="B53" i="5"/>
  <c r="B53" i="20" s="1"/>
  <c r="C52" i="5"/>
  <c r="B52" i="5"/>
  <c r="B52" i="20" s="1"/>
  <c r="C51" i="5"/>
  <c r="B51" i="5"/>
  <c r="C50" i="5"/>
  <c r="B50" i="5"/>
  <c r="D50" i="5" s="1"/>
  <c r="C49" i="5"/>
  <c r="B49" i="5"/>
  <c r="B49" i="11" s="1"/>
  <c r="B58" i="6" s="1"/>
  <c r="C48" i="5"/>
  <c r="B48" i="5"/>
  <c r="D48" i="5" s="1"/>
  <c r="C47" i="5"/>
  <c r="B47" i="5"/>
  <c r="C46" i="5"/>
  <c r="B46" i="5"/>
  <c r="D46" i="5" s="1"/>
  <c r="C45" i="5"/>
  <c r="B45" i="5"/>
  <c r="B45" i="20" s="1"/>
  <c r="I45" i="20" s="1"/>
  <c r="C44" i="5"/>
  <c r="B44" i="5"/>
  <c r="C43" i="5"/>
  <c r="B43" i="5"/>
  <c r="B43" i="20" s="1"/>
  <c r="C42" i="5"/>
  <c r="B42" i="5"/>
  <c r="C41" i="5"/>
  <c r="B41" i="5"/>
  <c r="D41" i="5" s="1"/>
  <c r="C40" i="5"/>
  <c r="B40" i="5"/>
  <c r="D40" i="5" s="1"/>
  <c r="C39" i="5"/>
  <c r="B39" i="5"/>
  <c r="B39" i="11" s="1"/>
  <c r="C38" i="5"/>
  <c r="B38" i="5"/>
  <c r="B38" i="11" s="1"/>
  <c r="C37" i="5"/>
  <c r="B37" i="5"/>
  <c r="D37" i="5" s="1"/>
  <c r="C36" i="5"/>
  <c r="B36" i="5"/>
  <c r="B36" i="20" s="1"/>
  <c r="C35" i="5"/>
  <c r="B35" i="5"/>
  <c r="B35" i="11" s="1"/>
  <c r="C34" i="5"/>
  <c r="B34" i="5"/>
  <c r="C33" i="5"/>
  <c r="B33" i="5"/>
  <c r="B33" i="11" s="1"/>
  <c r="C32" i="5"/>
  <c r="B32" i="5"/>
  <c r="C31" i="5"/>
  <c r="B31" i="5"/>
  <c r="B31" i="20" s="1"/>
  <c r="C30" i="5"/>
  <c r="B30" i="5"/>
  <c r="C29" i="5"/>
  <c r="B29" i="5"/>
  <c r="B29" i="11" s="1"/>
  <c r="AU29" i="11" s="1"/>
  <c r="C28" i="5"/>
  <c r="B28" i="5"/>
  <c r="D28" i="5" s="1"/>
  <c r="C27" i="5"/>
  <c r="B27" i="5"/>
  <c r="C26" i="5"/>
  <c r="B26" i="5"/>
  <c r="D26" i="5" s="1"/>
  <c r="C25" i="5"/>
  <c r="B25" i="5"/>
  <c r="C24" i="5"/>
  <c r="B24" i="5"/>
  <c r="D24" i="5" s="1"/>
  <c r="C23" i="5"/>
  <c r="B23" i="5"/>
  <c r="D23" i="5" s="1"/>
  <c r="C22" i="5"/>
  <c r="B22" i="5"/>
  <c r="C21" i="5"/>
  <c r="B21" i="5"/>
  <c r="C20" i="5"/>
  <c r="B20" i="5"/>
  <c r="C19" i="5"/>
  <c r="B19" i="5"/>
  <c r="B19" i="11" s="1"/>
  <c r="AK20" i="11" s="1"/>
  <c r="C18" i="5"/>
  <c r="B18" i="5"/>
  <c r="C17" i="5"/>
  <c r="B17" i="5"/>
  <c r="B17" i="20" s="1"/>
  <c r="C17" i="20" s="1"/>
  <c r="C16" i="5"/>
  <c r="B16" i="5"/>
  <c r="B16" i="20" s="1"/>
  <c r="H16" i="20" s="1"/>
  <c r="C15" i="5"/>
  <c r="B15" i="5"/>
  <c r="C14" i="5"/>
  <c r="B14" i="5"/>
  <c r="C13" i="5"/>
  <c r="B13" i="5"/>
  <c r="B13" i="11" s="1"/>
  <c r="C12" i="5"/>
  <c r="B12" i="5"/>
  <c r="B12" i="11" s="1"/>
  <c r="C11" i="5"/>
  <c r="B11" i="5"/>
  <c r="C10" i="5"/>
  <c r="B10" i="5"/>
  <c r="B10" i="11" s="1"/>
  <c r="B19" i="6" s="1"/>
  <c r="C9" i="5"/>
  <c r="B9" i="5"/>
  <c r="B9" i="11" s="1"/>
  <c r="B18" i="6" s="1"/>
  <c r="C8" i="5"/>
  <c r="B8" i="5"/>
  <c r="C6" i="5"/>
  <c r="B6" i="5"/>
  <c r="I4" i="5"/>
  <c r="J4" i="5" s="1"/>
  <c r="K4" i="5" s="1"/>
  <c r="L4" i="5" s="1"/>
  <c r="G4" i="5"/>
  <c r="E4" i="5"/>
  <c r="Z9" i="4"/>
  <c r="E34" i="10" s="1"/>
  <c r="E36" i="10" s="1"/>
  <c r="Z8" i="4"/>
  <c r="F8" i="4"/>
  <c r="F5" i="4"/>
  <c r="D15" i="2"/>
  <c r="E15" i="2" s="1"/>
  <c r="F15" i="2" s="1"/>
  <c r="F10" i="2"/>
  <c r="E10" i="2"/>
  <c r="D10" i="2"/>
  <c r="D2" i="2"/>
  <c r="E2" i="2" s="1"/>
  <c r="F2" i="2" s="1"/>
  <c r="C2" i="2"/>
  <c r="B1" i="2"/>
  <c r="E24" i="1"/>
  <c r="E32" i="1" s="1"/>
  <c r="E15" i="1"/>
  <c r="E23" i="1" s="1"/>
  <c r="E31" i="1" s="1"/>
  <c r="E39" i="1" s="1"/>
  <c r="E47" i="1" s="1"/>
  <c r="E55" i="1" s="1"/>
  <c r="E14" i="1"/>
  <c r="E22" i="1" s="1"/>
  <c r="E30" i="1" s="1"/>
  <c r="E38" i="1" s="1"/>
  <c r="E46" i="1" s="1"/>
  <c r="E54" i="1" s="1"/>
  <c r="E13" i="1"/>
  <c r="E21" i="1" s="1"/>
  <c r="E29" i="1" s="1"/>
  <c r="E37" i="1" s="1"/>
  <c r="E45" i="1" s="1"/>
  <c r="E53" i="1" s="1"/>
  <c r="E12" i="1"/>
  <c r="E20" i="1" s="1"/>
  <c r="E28" i="1" s="1"/>
  <c r="E36" i="1" s="1"/>
  <c r="E44" i="1" s="1"/>
  <c r="E52" i="1" s="1"/>
  <c r="I96" i="20"/>
  <c r="I104" i="20"/>
  <c r="I105" i="20"/>
  <c r="C105" i="11"/>
  <c r="AU98" i="11"/>
  <c r="H103" i="20"/>
  <c r="H99" i="20"/>
  <c r="J105" i="20"/>
  <c r="H96" i="20"/>
  <c r="C97" i="20"/>
  <c r="C105" i="20"/>
  <c r="J103" i="20"/>
  <c r="H104" i="20"/>
  <c r="H97" i="20"/>
  <c r="C99" i="20"/>
  <c r="K99" i="20"/>
  <c r="K103" i="20"/>
  <c r="C98" i="11"/>
  <c r="H100" i="11"/>
  <c r="B113" i="6"/>
  <c r="B114" i="6"/>
  <c r="H96" i="11"/>
  <c r="H98" i="11"/>
  <c r="G156" i="13"/>
  <c r="B54" i="11"/>
  <c r="AK55" i="11" s="1"/>
  <c r="B74" i="20"/>
  <c r="J74" i="20" s="1"/>
  <c r="D96" i="5"/>
  <c r="F92" i="5"/>
  <c r="B7" i="20"/>
  <c r="I7" i="20" s="1"/>
  <c r="B48" i="20"/>
  <c r="C48" i="20" s="1"/>
  <c r="AU100" i="11"/>
  <c r="C100" i="11"/>
  <c r="AU99" i="11"/>
  <c r="AU105" i="11"/>
  <c r="E49" i="18"/>
  <c r="F73" i="18"/>
  <c r="K96" i="20"/>
  <c r="J96" i="20"/>
  <c r="K104" i="20"/>
  <c r="J104" i="20"/>
  <c r="C96" i="20"/>
  <c r="C102" i="20"/>
  <c r="C104" i="20"/>
  <c r="D21" i="10"/>
  <c r="D23" i="10" s="1"/>
  <c r="F33" i="7"/>
  <c r="C88" i="20"/>
  <c r="I105" i="11"/>
  <c r="I96" i="11"/>
  <c r="J99" i="11"/>
  <c r="J98" i="11"/>
  <c r="I101" i="11"/>
  <c r="I100" i="11"/>
  <c r="J97" i="11"/>
  <c r="I102" i="11"/>
  <c r="J100" i="11"/>
  <c r="J104" i="11"/>
  <c r="I97" i="11"/>
  <c r="I99" i="11"/>
  <c r="I98" i="11"/>
  <c r="J105" i="11"/>
  <c r="J101" i="11"/>
  <c r="J96" i="11"/>
  <c r="J103" i="11"/>
  <c r="J102" i="11"/>
  <c r="I103" i="11"/>
  <c r="I104" i="11"/>
  <c r="L103" i="11"/>
  <c r="L100" i="11"/>
  <c r="L98" i="11"/>
  <c r="L101" i="11"/>
  <c r="L104" i="11"/>
  <c r="L105" i="11"/>
  <c r="L97" i="11"/>
  <c r="L99" i="11"/>
  <c r="L102" i="11"/>
  <c r="L96" i="11"/>
  <c r="D29" i="7"/>
  <c r="F34" i="7"/>
  <c r="F32" i="7"/>
  <c r="J81" i="11"/>
  <c r="I81" i="11"/>
  <c r="I93" i="11"/>
  <c r="I95" i="11"/>
  <c r="I88" i="11"/>
  <c r="I86" i="11"/>
  <c r="J93" i="11"/>
  <c r="J91" i="11"/>
  <c r="J89" i="11"/>
  <c r="J94" i="11"/>
  <c r="J87" i="11"/>
  <c r="I89" i="11"/>
  <c r="I94" i="11"/>
  <c r="I90" i="11"/>
  <c r="J95" i="11"/>
  <c r="J92" i="11"/>
  <c r="J90" i="11"/>
  <c r="J88" i="11"/>
  <c r="J86" i="11"/>
  <c r="I87" i="11"/>
  <c r="I92" i="11"/>
  <c r="I91" i="11"/>
  <c r="L93" i="11"/>
  <c r="L91" i="11"/>
  <c r="L86" i="11"/>
  <c r="L95" i="11"/>
  <c r="L92" i="11"/>
  <c r="L94" i="11"/>
  <c r="L90" i="11"/>
  <c r="L87" i="11"/>
  <c r="L88" i="11"/>
  <c r="L89" i="11"/>
  <c r="L81" i="11"/>
  <c r="C61" i="10"/>
  <c r="C63" i="10" s="1"/>
  <c r="J80" i="11"/>
  <c r="I80" i="11"/>
  <c r="J54" i="11"/>
  <c r="L54" i="11"/>
  <c r="L80" i="11"/>
  <c r="J71" i="11"/>
  <c r="J64" i="11"/>
  <c r="J65" i="11"/>
  <c r="I64" i="11"/>
  <c r="I54" i="11"/>
  <c r="J47" i="11"/>
  <c r="L47" i="11"/>
  <c r="L64" i="11"/>
  <c r="L71" i="11"/>
  <c r="L65" i="11"/>
  <c r="F80" i="7"/>
  <c r="J95" i="20" l="1"/>
  <c r="I95" i="20"/>
  <c r="H95" i="20"/>
  <c r="C95" i="20"/>
  <c r="E60" i="10"/>
  <c r="E62" i="10" s="1"/>
  <c r="C99" i="11"/>
  <c r="K101" i="20"/>
  <c r="C34" i="10"/>
  <c r="C36" i="10" s="1"/>
  <c r="J101" i="20"/>
  <c r="I101" i="20"/>
  <c r="E47" i="10"/>
  <c r="E49" i="10" s="1"/>
  <c r="D34" i="10"/>
  <c r="D36" i="10" s="1"/>
  <c r="D49" i="18"/>
  <c r="C96" i="11"/>
  <c r="AU96" i="11"/>
  <c r="G170" i="13"/>
  <c r="C73" i="18"/>
  <c r="C101" i="20"/>
  <c r="B105" i="6"/>
  <c r="J97" i="20"/>
  <c r="I97" i="20"/>
  <c r="E94" i="20"/>
  <c r="G22" i="11"/>
  <c r="E92" i="11"/>
  <c r="E97" i="11"/>
  <c r="D61" i="10"/>
  <c r="D63" i="10" s="1"/>
  <c r="D66" i="10" s="1"/>
  <c r="D73" i="18"/>
  <c r="F61" i="10"/>
  <c r="F63" i="10" s="1"/>
  <c r="F90" i="10" s="1"/>
  <c r="F110" i="10" s="1"/>
  <c r="D47" i="10"/>
  <c r="D49" i="10" s="1"/>
  <c r="D73" i="10"/>
  <c r="D75" i="10" s="1"/>
  <c r="C103" i="11"/>
  <c r="B88" i="11"/>
  <c r="C88" i="11" s="1"/>
  <c r="D104" i="5"/>
  <c r="D7" i="5"/>
  <c r="B108" i="6"/>
  <c r="H105" i="20"/>
  <c r="L105" i="20" s="1"/>
  <c r="Q105" i="20" s="1"/>
  <c r="F94" i="5"/>
  <c r="H99" i="11"/>
  <c r="G78" i="13"/>
  <c r="D90" i="11"/>
  <c r="J100" i="20"/>
  <c r="E8" i="10"/>
  <c r="E10" i="10" s="1"/>
  <c r="F8" i="10"/>
  <c r="F10" i="10" s="1"/>
  <c r="K100" i="20"/>
  <c r="L100" i="20" s="1"/>
  <c r="Q100" i="20" s="1"/>
  <c r="B91" i="20"/>
  <c r="C91" i="20" s="1"/>
  <c r="I100" i="20"/>
  <c r="AU101" i="11"/>
  <c r="H100" i="20"/>
  <c r="F99" i="5"/>
  <c r="F60" i="10"/>
  <c r="F62" i="10" s="1"/>
  <c r="C8" i="10"/>
  <c r="C10" i="10" s="1"/>
  <c r="A14" i="13"/>
  <c r="B110" i="6"/>
  <c r="F47" i="10"/>
  <c r="F49" i="10" s="1"/>
  <c r="F87" i="5"/>
  <c r="D60" i="10"/>
  <c r="D62" i="10" s="1"/>
  <c r="C73" i="10"/>
  <c r="C75" i="10" s="1"/>
  <c r="D80" i="20"/>
  <c r="BM7" i="29"/>
  <c r="BM10" i="29"/>
  <c r="E18" i="11"/>
  <c r="E74" i="10"/>
  <c r="C74" i="10"/>
  <c r="D74" i="10"/>
  <c r="D76" i="10" s="1"/>
  <c r="D91" i="10" s="1"/>
  <c r="D111" i="10" s="1"/>
  <c r="G167" i="13"/>
  <c r="G136" i="13"/>
  <c r="D99" i="20"/>
  <c r="D68" i="11"/>
  <c r="D80" i="11"/>
  <c r="G129" i="13"/>
  <c r="G116" i="13"/>
  <c r="D90" i="20"/>
  <c r="G173" i="13"/>
  <c r="G135" i="13"/>
  <c r="E85" i="20"/>
  <c r="D102" i="11"/>
  <c r="D67" i="20"/>
  <c r="G106" i="13"/>
  <c r="G151" i="13"/>
  <c r="D85" i="20"/>
  <c r="B83" i="20"/>
  <c r="K83" i="20" s="1"/>
  <c r="B52" i="11"/>
  <c r="B61" i="6" s="1"/>
  <c r="B67" i="20"/>
  <c r="C67" i="20" s="1"/>
  <c r="B81" i="11"/>
  <c r="B90" i="6" s="1"/>
  <c r="F81" i="5"/>
  <c r="B58" i="11"/>
  <c r="C58" i="11" s="1"/>
  <c r="AK36" i="11"/>
  <c r="C35" i="11"/>
  <c r="C45" i="20"/>
  <c r="J17" i="20"/>
  <c r="D45" i="5"/>
  <c r="C54" i="11"/>
  <c r="B75" i="20"/>
  <c r="K75" i="20" s="1"/>
  <c r="B29" i="20"/>
  <c r="C29" i="20" s="1"/>
  <c r="G76" i="13"/>
  <c r="B60" i="20"/>
  <c r="C60" i="20" s="1"/>
  <c r="B50" i="11"/>
  <c r="AK51" i="11" s="1"/>
  <c r="B50" i="20"/>
  <c r="J50" i="20" s="1"/>
  <c r="B46" i="20"/>
  <c r="J46" i="20" s="1"/>
  <c r="BF27" i="29"/>
  <c r="BF28" i="29" s="1"/>
  <c r="J52" i="20"/>
  <c r="K52" i="20"/>
  <c r="E40" i="1"/>
  <c r="E48" i="1" s="1"/>
  <c r="E56" i="1" s="1"/>
  <c r="BG32" i="29"/>
  <c r="P52" i="6" s="1"/>
  <c r="K91" i="20"/>
  <c r="AU103" i="11"/>
  <c r="B112" i="6"/>
  <c r="C76" i="10"/>
  <c r="C79" i="10" s="1"/>
  <c r="C80" i="10" s="1"/>
  <c r="D77" i="10" s="1"/>
  <c r="E76" i="10"/>
  <c r="E79" i="10" s="1"/>
  <c r="E80" i="10" s="1"/>
  <c r="F77" i="10" s="1"/>
  <c r="F76" i="10"/>
  <c r="K95" i="20"/>
  <c r="L95" i="20" s="1"/>
  <c r="Q95" i="20" s="1"/>
  <c r="C7" i="20"/>
  <c r="AU54" i="11"/>
  <c r="A15" i="13"/>
  <c r="C46" i="20"/>
  <c r="K102" i="20"/>
  <c r="K98" i="20"/>
  <c r="F49" i="18"/>
  <c r="B60" i="11"/>
  <c r="B69" i="6" s="1"/>
  <c r="B48" i="11"/>
  <c r="AU48" i="11" s="1"/>
  <c r="B94" i="20"/>
  <c r="D52" i="5"/>
  <c r="B46" i="11"/>
  <c r="AU46" i="11" s="1"/>
  <c r="H101" i="11"/>
  <c r="B107" i="6"/>
  <c r="F102" i="5"/>
  <c r="H103" i="11"/>
  <c r="I99" i="20"/>
  <c r="O99" i="20" s="1"/>
  <c r="T99" i="20" s="1"/>
  <c r="AK98" i="11"/>
  <c r="E78" i="20"/>
  <c r="G31" i="11"/>
  <c r="K7" i="20"/>
  <c r="B63" i="6"/>
  <c r="E73" i="10"/>
  <c r="E75" i="10" s="1"/>
  <c r="F21" i="10"/>
  <c r="F23" i="10" s="1"/>
  <c r="F34" i="10"/>
  <c r="F36" i="10" s="1"/>
  <c r="E21" i="10"/>
  <c r="E23" i="10" s="1"/>
  <c r="F73" i="10"/>
  <c r="F75" i="10" s="1"/>
  <c r="C98" i="20"/>
  <c r="AU97" i="11"/>
  <c r="B24" i="11"/>
  <c r="AU24" i="11" s="1"/>
  <c r="B45" i="11"/>
  <c r="AU45" i="11" s="1"/>
  <c r="C47" i="10"/>
  <c r="C49" i="10" s="1"/>
  <c r="B94" i="11"/>
  <c r="B103" i="6" s="1"/>
  <c r="B54" i="20"/>
  <c r="I54" i="20" s="1"/>
  <c r="C103" i="20"/>
  <c r="D93" i="5"/>
  <c r="AK106" i="11"/>
  <c r="E101" i="20"/>
  <c r="E80" i="11"/>
  <c r="E37" i="11"/>
  <c r="D115" i="10"/>
  <c r="D5" i="7" s="1"/>
  <c r="O61" i="7"/>
  <c r="E68" i="20"/>
  <c r="G108" i="13"/>
  <c r="B73" i="11"/>
  <c r="AK74" i="11" s="1"/>
  <c r="B68" i="20"/>
  <c r="C68" i="20" s="1"/>
  <c r="B58" i="20"/>
  <c r="J58" i="20" s="1"/>
  <c r="B56" i="11"/>
  <c r="D56" i="5"/>
  <c r="B56" i="20"/>
  <c r="K56" i="20" s="1"/>
  <c r="J7" i="20"/>
  <c r="H52" i="20"/>
  <c r="H7" i="20"/>
  <c r="AU13" i="11"/>
  <c r="B22" i="6"/>
  <c r="H31" i="20"/>
  <c r="K31" i="20"/>
  <c r="J31" i="20"/>
  <c r="AU33" i="11"/>
  <c r="C33" i="11"/>
  <c r="C39" i="11"/>
  <c r="B48" i="6"/>
  <c r="I93" i="20"/>
  <c r="H93" i="20"/>
  <c r="J93" i="20"/>
  <c r="B28" i="6"/>
  <c r="I83" i="20"/>
  <c r="I52" i="20"/>
  <c r="B87" i="11"/>
  <c r="C87" i="11" s="1"/>
  <c r="B79" i="11"/>
  <c r="AK80" i="11" s="1"/>
  <c r="B71" i="11"/>
  <c r="B80" i="6" s="1"/>
  <c r="F83" i="5"/>
  <c r="B89" i="11"/>
  <c r="B81" i="20"/>
  <c r="B73" i="20"/>
  <c r="K73" i="20" s="1"/>
  <c r="B41" i="11"/>
  <c r="C41" i="11" s="1"/>
  <c r="D29" i="5"/>
  <c r="B44" i="6"/>
  <c r="C19" i="11"/>
  <c r="C52" i="20"/>
  <c r="B87" i="20"/>
  <c r="B79" i="20"/>
  <c r="B71" i="20"/>
  <c r="F91" i="5"/>
  <c r="B93" i="11"/>
  <c r="C93" i="11" s="1"/>
  <c r="B69" i="20"/>
  <c r="H69" i="20" s="1"/>
  <c r="B41" i="20"/>
  <c r="D19" i="5"/>
  <c r="F93" i="5"/>
  <c r="AU35" i="11"/>
  <c r="AU19" i="11"/>
  <c r="K17" i="20"/>
  <c r="B91" i="11"/>
  <c r="B83" i="11"/>
  <c r="B75" i="11"/>
  <c r="B67" i="11"/>
  <c r="AU67" i="11" s="1"/>
  <c r="B19" i="20"/>
  <c r="C19" i="20" s="1"/>
  <c r="F89" i="5"/>
  <c r="K53" i="20"/>
  <c r="J53" i="20"/>
  <c r="I17" i="20"/>
  <c r="H17" i="20"/>
  <c r="B17" i="11"/>
  <c r="B26" i="6" s="1"/>
  <c r="H77" i="11"/>
  <c r="G117" i="13"/>
  <c r="G74" i="13"/>
  <c r="E43" i="20"/>
  <c r="E52" i="20"/>
  <c r="E29" i="20"/>
  <c r="F59" i="20"/>
  <c r="F12" i="11"/>
  <c r="I7" i="7"/>
  <c r="C41" i="7" s="1"/>
  <c r="P63" i="7"/>
  <c r="K5" i="7"/>
  <c r="E47" i="7" s="1"/>
  <c r="F64" i="11"/>
  <c r="F64" i="20"/>
  <c r="E53" i="11"/>
  <c r="E53" i="20"/>
  <c r="K3" i="7"/>
  <c r="E37" i="7" s="1"/>
  <c r="D48" i="20"/>
  <c r="D61" i="20"/>
  <c r="D78" i="11"/>
  <c r="J8" i="7"/>
  <c r="D50" i="7" s="1"/>
  <c r="D14" i="11"/>
  <c r="G82" i="13"/>
  <c r="D16" i="11"/>
  <c r="G84" i="13"/>
  <c r="F18" i="11"/>
  <c r="F18" i="20"/>
  <c r="D22" i="20"/>
  <c r="D22" i="11"/>
  <c r="G90" i="13"/>
  <c r="D24" i="11"/>
  <c r="G92" i="13"/>
  <c r="D26" i="11"/>
  <c r="G94" i="13"/>
  <c r="D28" i="11"/>
  <c r="G96" i="13"/>
  <c r="F29" i="11"/>
  <c r="F29" i="20"/>
  <c r="D31" i="11"/>
  <c r="G99" i="13"/>
  <c r="D33" i="20"/>
  <c r="D33" i="11"/>
  <c r="D35" i="11"/>
  <c r="G103" i="13"/>
  <c r="D37" i="11"/>
  <c r="D37" i="20"/>
  <c r="D41" i="11"/>
  <c r="G109" i="13"/>
  <c r="D43" i="11"/>
  <c r="G111" i="13"/>
  <c r="D46" i="11"/>
  <c r="D46" i="20"/>
  <c r="D50" i="11"/>
  <c r="G118" i="13"/>
  <c r="D50" i="20"/>
  <c r="D52" i="20"/>
  <c r="G120" i="13"/>
  <c r="D52" i="11"/>
  <c r="D54" i="11"/>
  <c r="G122" i="13"/>
  <c r="D56" i="11"/>
  <c r="G124" i="13"/>
  <c r="D57" i="11"/>
  <c r="D57" i="20"/>
  <c r="D59" i="11"/>
  <c r="D59" i="20"/>
  <c r="G127" i="13"/>
  <c r="D63" i="11"/>
  <c r="D63" i="20"/>
  <c r="D65" i="11"/>
  <c r="G133" i="13"/>
  <c r="D65" i="20"/>
  <c r="D66" i="11"/>
  <c r="D66" i="20"/>
  <c r="D69" i="11"/>
  <c r="D69" i="20"/>
  <c r="G137" i="13"/>
  <c r="D70" i="11"/>
  <c r="D70" i="20"/>
  <c r="D71" i="11"/>
  <c r="G139" i="13"/>
  <c r="D72" i="20"/>
  <c r="D72" i="11"/>
  <c r="D73" i="11"/>
  <c r="D73" i="20"/>
  <c r="D74" i="20"/>
  <c r="G142" i="13"/>
  <c r="G143" i="13"/>
  <c r="D75" i="11"/>
  <c r="G144" i="13"/>
  <c r="D76" i="11"/>
  <c r="D76" i="20"/>
  <c r="D77" i="11"/>
  <c r="D77" i="20"/>
  <c r="D79" i="20"/>
  <c r="D79" i="11"/>
  <c r="G149" i="13"/>
  <c r="D81" i="20"/>
  <c r="D81" i="11"/>
  <c r="D82" i="11"/>
  <c r="D82" i="20"/>
  <c r="D84" i="20"/>
  <c r="D84" i="11"/>
  <c r="D86" i="11"/>
  <c r="D86" i="20"/>
  <c r="D87" i="11"/>
  <c r="G155" i="13"/>
  <c r="D88" i="20"/>
  <c r="D88" i="11"/>
  <c r="D89" i="11"/>
  <c r="D89" i="20"/>
  <c r="D91" i="11"/>
  <c r="D91" i="20"/>
  <c r="G159" i="13"/>
  <c r="D92" i="11"/>
  <c r="G160" i="13"/>
  <c r="D93" i="20"/>
  <c r="D93" i="11"/>
  <c r="D94" i="20"/>
  <c r="D94" i="11"/>
  <c r="G162" i="13"/>
  <c r="D95" i="20"/>
  <c r="D95" i="11"/>
  <c r="D96" i="11"/>
  <c r="G164" i="13"/>
  <c r="G165" i="13"/>
  <c r="D97" i="20"/>
  <c r="D98" i="20"/>
  <c r="D98" i="11"/>
  <c r="D100" i="20"/>
  <c r="D100" i="11"/>
  <c r="D101" i="11"/>
  <c r="G169" i="13"/>
  <c r="G171" i="13"/>
  <c r="D103" i="11"/>
  <c r="D104" i="11"/>
  <c r="D104" i="20"/>
  <c r="G88" i="13"/>
  <c r="G80" i="13"/>
  <c r="P65" i="7"/>
  <c r="J6" i="7"/>
  <c r="D40" i="7" s="1"/>
  <c r="D56" i="20"/>
  <c r="D78" i="20"/>
  <c r="D83" i="20"/>
  <c r="D85" i="11"/>
  <c r="E131" i="10"/>
  <c r="E9" i="7" s="1"/>
  <c r="E81" i="20"/>
  <c r="E88" i="20"/>
  <c r="E104" i="20"/>
  <c r="E56" i="11"/>
  <c r="E65" i="11"/>
  <c r="E86" i="11"/>
  <c r="E103" i="11"/>
  <c r="BJ9" i="29"/>
  <c r="E34" i="20"/>
  <c r="E95" i="20"/>
  <c r="E84" i="11"/>
  <c r="F30" i="11"/>
  <c r="E15" i="11"/>
  <c r="E74" i="20"/>
  <c r="E76" i="20"/>
  <c r="E77" i="11"/>
  <c r="E79" i="11"/>
  <c r="E48" i="11"/>
  <c r="E16" i="20"/>
  <c r="E6" i="11"/>
  <c r="D40" i="20"/>
  <c r="E66" i="20"/>
  <c r="E72" i="20"/>
  <c r="E75" i="11"/>
  <c r="F26" i="11"/>
  <c r="F23" i="11"/>
  <c r="E40" i="20"/>
  <c r="E70" i="20"/>
  <c r="E73" i="11"/>
  <c r="N63" i="7"/>
  <c r="O62" i="7"/>
  <c r="D119" i="10"/>
  <c r="D6" i="7" s="1"/>
  <c r="C115" i="10"/>
  <c r="C5" i="7" s="1"/>
  <c r="N61" i="7"/>
  <c r="B97" i="6"/>
  <c r="AK13" i="11"/>
  <c r="C12" i="11"/>
  <c r="B21" i="6"/>
  <c r="AU12" i="11"/>
  <c r="AK69" i="11"/>
  <c r="C68" i="11"/>
  <c r="AU68" i="11"/>
  <c r="AK75" i="11"/>
  <c r="B83" i="6"/>
  <c r="H74" i="11"/>
  <c r="C74" i="11"/>
  <c r="J88" i="20"/>
  <c r="H88" i="20"/>
  <c r="K88" i="20"/>
  <c r="I88" i="20"/>
  <c r="AU92" i="11"/>
  <c r="H92" i="11"/>
  <c r="C92" i="11"/>
  <c r="B96" i="6"/>
  <c r="AK56" i="11"/>
  <c r="AU55" i="11"/>
  <c r="B64" i="6"/>
  <c r="B77" i="6"/>
  <c r="C55" i="11"/>
  <c r="AU74" i="11"/>
  <c r="B101" i="6"/>
  <c r="H74" i="20"/>
  <c r="K74" i="20"/>
  <c r="AU10" i="11"/>
  <c r="H10" i="11"/>
  <c r="J43" i="20"/>
  <c r="K43" i="20"/>
  <c r="C43" i="20"/>
  <c r="D8" i="5"/>
  <c r="B8" i="11"/>
  <c r="AU8" i="11" s="1"/>
  <c r="B18" i="20"/>
  <c r="D18" i="5"/>
  <c r="D32" i="5"/>
  <c r="B32" i="11"/>
  <c r="H32" i="11" s="1"/>
  <c r="B73" i="6"/>
  <c r="AK65" i="11"/>
  <c r="B70" i="11"/>
  <c r="D70" i="5"/>
  <c r="B72" i="20"/>
  <c r="D72" i="5"/>
  <c r="B72" i="11"/>
  <c r="C10" i="11"/>
  <c r="H58" i="11"/>
  <c r="H43" i="20"/>
  <c r="AU62" i="11"/>
  <c r="B76" i="11"/>
  <c r="B64" i="20"/>
  <c r="AU39" i="11"/>
  <c r="I43" i="20"/>
  <c r="AK40" i="11"/>
  <c r="B76" i="20"/>
  <c r="K76" i="20" s="1"/>
  <c r="I53" i="20"/>
  <c r="C53" i="20"/>
  <c r="H53" i="20"/>
  <c r="B90" i="11"/>
  <c r="D68" i="5"/>
  <c r="B18" i="11"/>
  <c r="B27" i="6" s="1"/>
  <c r="D74" i="5"/>
  <c r="F74" i="5" s="1"/>
  <c r="B33" i="20"/>
  <c r="D33" i="5"/>
  <c r="B35" i="20"/>
  <c r="D35" i="5"/>
  <c r="B39" i="20"/>
  <c r="D39" i="5"/>
  <c r="B43" i="11"/>
  <c r="C43" i="11" s="1"/>
  <c r="D43" i="5"/>
  <c r="H45" i="20"/>
  <c r="J45" i="20"/>
  <c r="K45" i="20"/>
  <c r="D55" i="5"/>
  <c r="B55" i="20"/>
  <c r="K55" i="20" s="1"/>
  <c r="AK8" i="11"/>
  <c r="AU7" i="11"/>
  <c r="B16" i="6"/>
  <c r="AK78" i="11"/>
  <c r="B86" i="6"/>
  <c r="C77" i="11"/>
  <c r="AK63" i="11"/>
  <c r="B71" i="6"/>
  <c r="D10" i="5"/>
  <c r="B10" i="20"/>
  <c r="D12" i="5"/>
  <c r="B12" i="20"/>
  <c r="B16" i="11"/>
  <c r="B25" i="6" s="1"/>
  <c r="D16" i="5"/>
  <c r="D20" i="5"/>
  <c r="B20" i="20"/>
  <c r="B20" i="11"/>
  <c r="AK21" i="11" s="1"/>
  <c r="D62" i="5"/>
  <c r="B62" i="20"/>
  <c r="D66" i="5"/>
  <c r="B66" i="20"/>
  <c r="B66" i="11"/>
  <c r="H66" i="11" s="1"/>
  <c r="D80" i="5"/>
  <c r="F80" i="5" s="1"/>
  <c r="B80" i="11"/>
  <c r="C84" i="11"/>
  <c r="AU84" i="11"/>
  <c r="H84" i="11"/>
  <c r="F86" i="5"/>
  <c r="B86" i="20"/>
  <c r="D92" i="5"/>
  <c r="B92" i="20"/>
  <c r="C92" i="20" s="1"/>
  <c r="I74" i="20"/>
  <c r="C7" i="11"/>
  <c r="C64" i="11"/>
  <c r="D84" i="5"/>
  <c r="F84" i="5" s="1"/>
  <c r="B70" i="20"/>
  <c r="B26" i="20"/>
  <c r="C74" i="20"/>
  <c r="AU77" i="11"/>
  <c r="M96" i="20"/>
  <c r="R96" i="20" s="1"/>
  <c r="H91" i="20"/>
  <c r="I91" i="20"/>
  <c r="J91" i="20"/>
  <c r="B84" i="20"/>
  <c r="B32" i="20"/>
  <c r="H32" i="20" s="1"/>
  <c r="B8" i="20"/>
  <c r="C93" i="20"/>
  <c r="K93" i="20"/>
  <c r="AK14" i="11"/>
  <c r="C13" i="11"/>
  <c r="B90" i="20"/>
  <c r="D64" i="5"/>
  <c r="F64" i="5" s="1"/>
  <c r="AK11" i="11"/>
  <c r="C31" i="20"/>
  <c r="I31" i="20"/>
  <c r="F90" i="5"/>
  <c r="D103" i="5"/>
  <c r="F103" i="5"/>
  <c r="F95" i="5"/>
  <c r="F97" i="5"/>
  <c r="D8" i="10"/>
  <c r="D10" i="10" s="1"/>
  <c r="C21" i="10"/>
  <c r="C23" i="10" s="1"/>
  <c r="C60" i="10"/>
  <c r="C62" i="10" s="1"/>
  <c r="B6" i="20"/>
  <c r="D6" i="5"/>
  <c r="B6" i="11"/>
  <c r="D9" i="5"/>
  <c r="B9" i="20"/>
  <c r="B15" i="11"/>
  <c r="H15" i="11" s="1"/>
  <c r="D15" i="5"/>
  <c r="D17" i="5"/>
  <c r="D77" i="5"/>
  <c r="B77" i="20"/>
  <c r="D46" i="7"/>
  <c r="C94" i="11"/>
  <c r="B93" i="6"/>
  <c r="B21" i="20"/>
  <c r="D21" i="5"/>
  <c r="B21" i="11"/>
  <c r="H21" i="11" s="1"/>
  <c r="E51" i="11"/>
  <c r="E51" i="20"/>
  <c r="E36" i="20"/>
  <c r="E36" i="11"/>
  <c r="E27" i="20"/>
  <c r="E27" i="11"/>
  <c r="F15" i="20"/>
  <c r="F15" i="11"/>
  <c r="E10" i="20"/>
  <c r="E10" i="11"/>
  <c r="D78" i="5"/>
  <c r="B78" i="20"/>
  <c r="B78" i="11"/>
  <c r="H68" i="11"/>
  <c r="I98" i="20"/>
  <c r="H98" i="20"/>
  <c r="I102" i="20"/>
  <c r="H102" i="20"/>
  <c r="F62" i="11"/>
  <c r="F62" i="20"/>
  <c r="F11" i="20"/>
  <c r="F11" i="11"/>
  <c r="F31" i="11"/>
  <c r="F31" i="20"/>
  <c r="F22" i="20"/>
  <c r="F22" i="11"/>
  <c r="F28" i="20"/>
  <c r="F28" i="11"/>
  <c r="B80" i="20"/>
  <c r="F101" i="5"/>
  <c r="B22" i="20"/>
  <c r="D22" i="5"/>
  <c r="D30" i="5"/>
  <c r="B30" i="20"/>
  <c r="B30" i="11"/>
  <c r="B39" i="6" s="1"/>
  <c r="B47" i="11"/>
  <c r="H47" i="11" s="1"/>
  <c r="B47" i="20"/>
  <c r="D47" i="5"/>
  <c r="D57" i="5"/>
  <c r="B57" i="20"/>
  <c r="B57" i="11"/>
  <c r="B66" i="6" s="1"/>
  <c r="D82" i="5"/>
  <c r="F82" i="5" s="1"/>
  <c r="B82" i="11"/>
  <c r="D86" i="5"/>
  <c r="B86" i="11"/>
  <c r="D88" i="5"/>
  <c r="F88" i="5"/>
  <c r="D105" i="5"/>
  <c r="B95" i="11"/>
  <c r="F105" i="5"/>
  <c r="AK103" i="11"/>
  <c r="AU102" i="11"/>
  <c r="H102" i="11"/>
  <c r="C102" i="11"/>
  <c r="F41" i="11"/>
  <c r="B109" i="6"/>
  <c r="E64" i="20"/>
  <c r="G17" i="20"/>
  <c r="H7" i="11"/>
  <c r="H97" i="11"/>
  <c r="B106" i="6"/>
  <c r="F19" i="20"/>
  <c r="F51" i="11"/>
  <c r="E60" i="11"/>
  <c r="G38" i="20"/>
  <c r="G52" i="20"/>
  <c r="E69" i="20"/>
  <c r="E71" i="20"/>
  <c r="E87" i="20"/>
  <c r="E89" i="20"/>
  <c r="E91" i="20"/>
  <c r="E96" i="20"/>
  <c r="E98" i="20"/>
  <c r="E93" i="11"/>
  <c r="E100" i="11"/>
  <c r="E102" i="11"/>
  <c r="G10" i="20"/>
  <c r="E67" i="20"/>
  <c r="C17" i="2"/>
  <c r="C9" i="18" s="1"/>
  <c r="F36" i="20"/>
  <c r="E62" i="11"/>
  <c r="F58" i="11"/>
  <c r="E49" i="11"/>
  <c r="E11" i="20"/>
  <c r="D14" i="20"/>
  <c r="D24" i="20"/>
  <c r="D31" i="20"/>
  <c r="D35" i="20"/>
  <c r="D38" i="20"/>
  <c r="D41" i="20"/>
  <c r="F44" i="20"/>
  <c r="D54" i="20"/>
  <c r="F20" i="20"/>
  <c r="E30" i="11"/>
  <c r="F63" i="20"/>
  <c r="D8" i="20"/>
  <c r="F17" i="20"/>
  <c r="D20" i="20"/>
  <c r="F27" i="11"/>
  <c r="E26" i="20"/>
  <c r="F13" i="20"/>
  <c r="F32" i="20"/>
  <c r="E59" i="20"/>
  <c r="F25" i="20"/>
  <c r="F24" i="11"/>
  <c r="D12" i="20"/>
  <c r="D28" i="20"/>
  <c r="E61" i="20"/>
  <c r="E35" i="20"/>
  <c r="E50" i="11"/>
  <c r="E8" i="11"/>
  <c r="E46" i="11"/>
  <c r="F39" i="11"/>
  <c r="E28" i="11"/>
  <c r="E49" i="7"/>
  <c r="AM4" i="11"/>
  <c r="F55" i="20"/>
  <c r="F52" i="20"/>
  <c r="F50" i="20"/>
  <c r="F45" i="20"/>
  <c r="E63" i="20"/>
  <c r="E45" i="11"/>
  <c r="E25" i="20"/>
  <c r="E7" i="20"/>
  <c r="D48" i="7"/>
  <c r="D6" i="11"/>
  <c r="D10" i="20"/>
  <c r="D16" i="20"/>
  <c r="E39" i="11"/>
  <c r="E21" i="11"/>
  <c r="F37" i="11"/>
  <c r="C127" i="10"/>
  <c r="C8" i="7" s="1"/>
  <c r="C72" i="7" s="1"/>
  <c r="C90" i="7" s="1"/>
  <c r="E23" i="20"/>
  <c r="F135" i="10"/>
  <c r="F10" i="7" s="1"/>
  <c r="E33" i="7"/>
  <c r="E135" i="10"/>
  <c r="E10" i="7" s="1"/>
  <c r="C135" i="10"/>
  <c r="C10" i="7" s="1"/>
  <c r="D131" i="10"/>
  <c r="D9" i="7" s="1"/>
  <c r="D123" i="10"/>
  <c r="D7" i="7" s="1"/>
  <c r="G13" i="20"/>
  <c r="G19" i="20"/>
  <c r="G70" i="20"/>
  <c r="G8" i="11"/>
  <c r="G57" i="11"/>
  <c r="G9" i="20"/>
  <c r="G9" i="11"/>
  <c r="G11" i="11"/>
  <c r="G11" i="20"/>
  <c r="G30" i="11"/>
  <c r="G30" i="20"/>
  <c r="G34" i="11"/>
  <c r="G34" i="20"/>
  <c r="G39" i="11"/>
  <c r="G39" i="20"/>
  <c r="G40" i="11"/>
  <c r="G40" i="20"/>
  <c r="G47" i="11"/>
  <c r="G47" i="20"/>
  <c r="G53" i="11"/>
  <c r="G53" i="20"/>
  <c r="G56" i="11"/>
  <c r="G56" i="20"/>
  <c r="G62" i="11"/>
  <c r="G62" i="20"/>
  <c r="G65" i="11"/>
  <c r="G65" i="20"/>
  <c r="G66" i="11"/>
  <c r="G66" i="20"/>
  <c r="G69" i="11"/>
  <c r="G69" i="20"/>
  <c r="G72" i="11"/>
  <c r="G72" i="20"/>
  <c r="G73" i="11"/>
  <c r="G73" i="20"/>
  <c r="G76" i="11"/>
  <c r="G76" i="20"/>
  <c r="G77" i="11"/>
  <c r="G77" i="20"/>
  <c r="G80" i="11"/>
  <c r="G80" i="20"/>
  <c r="G81" i="11"/>
  <c r="G81" i="20"/>
  <c r="G84" i="11"/>
  <c r="G84" i="20"/>
  <c r="G85" i="11"/>
  <c r="G85" i="20"/>
  <c r="G88" i="11"/>
  <c r="G88" i="20"/>
  <c r="G89" i="11"/>
  <c r="G89" i="20"/>
  <c r="G92" i="11"/>
  <c r="G92" i="20"/>
  <c r="G93" i="11"/>
  <c r="G93" i="20"/>
  <c r="G96" i="11"/>
  <c r="G96" i="20"/>
  <c r="G97" i="11"/>
  <c r="G97" i="20"/>
  <c r="G100" i="11"/>
  <c r="G100" i="20"/>
  <c r="G101" i="11"/>
  <c r="G101" i="20"/>
  <c r="G104" i="11"/>
  <c r="G104" i="20"/>
  <c r="G105" i="11"/>
  <c r="G105" i="20"/>
  <c r="G25" i="20"/>
  <c r="G45" i="20"/>
  <c r="G55" i="20"/>
  <c r="G58" i="20"/>
  <c r="G67" i="20"/>
  <c r="G74" i="20"/>
  <c r="G82" i="20"/>
  <c r="G90" i="20"/>
  <c r="G98" i="20"/>
  <c r="G21" i="11"/>
  <c r="G27" i="11"/>
  <c r="G68" i="11"/>
  <c r="G103" i="20"/>
  <c r="N66" i="7"/>
  <c r="E119" i="10"/>
  <c r="E6" i="7" s="1"/>
  <c r="G24" i="20"/>
  <c r="G59" i="20"/>
  <c r="G50" i="11"/>
  <c r="G6" i="20"/>
  <c r="G63" i="11"/>
  <c r="O54" i="7"/>
  <c r="O63" i="7"/>
  <c r="P62" i="7"/>
  <c r="E50" i="7"/>
  <c r="K6" i="7"/>
  <c r="E48" i="7" s="1"/>
  <c r="G14" i="20"/>
  <c r="G20" i="20"/>
  <c r="G28" i="20"/>
  <c r="G35" i="20"/>
  <c r="G41" i="20"/>
  <c r="G48" i="20"/>
  <c r="G16" i="11"/>
  <c r="G29" i="11"/>
  <c r="G46" i="11"/>
  <c r="G54" i="11"/>
  <c r="G61" i="11"/>
  <c r="E127" i="10"/>
  <c r="E8" i="7" s="1"/>
  <c r="G43" i="20"/>
  <c r="G12" i="11"/>
  <c r="G26" i="11"/>
  <c r="D30" i="7"/>
  <c r="C33" i="7"/>
  <c r="O65" i="7"/>
  <c r="D42" i="7"/>
  <c r="I8" i="7"/>
  <c r="G18" i="20"/>
  <c r="G33" i="20"/>
  <c r="C29" i="7"/>
  <c r="G86" i="13"/>
  <c r="D34" i="7"/>
  <c r="E55" i="11"/>
  <c r="E54" i="20"/>
  <c r="F38" i="11"/>
  <c r="F42" i="20"/>
  <c r="E58" i="11"/>
  <c r="E38" i="20"/>
  <c r="E20" i="11"/>
  <c r="D45" i="7"/>
  <c r="D135" i="10"/>
  <c r="D10" i="7" s="1"/>
  <c r="C32" i="1"/>
  <c r="N53" i="7"/>
  <c r="F43" i="20"/>
  <c r="F60" i="20"/>
  <c r="F21" i="20"/>
  <c r="E13" i="20"/>
  <c r="E32" i="20"/>
  <c r="E12" i="20"/>
  <c r="F71" i="11"/>
  <c r="F72" i="11"/>
  <c r="F73" i="11"/>
  <c r="F74" i="11"/>
  <c r="F75" i="11"/>
  <c r="F76" i="11"/>
  <c r="F77" i="11"/>
  <c r="F78" i="11"/>
  <c r="F79" i="11"/>
  <c r="F80" i="11"/>
  <c r="F81" i="11"/>
  <c r="F82" i="11"/>
  <c r="F83" i="11"/>
  <c r="F84" i="11"/>
  <c r="F85" i="11"/>
  <c r="F86" i="11"/>
  <c r="F87" i="11"/>
  <c r="F88" i="11"/>
  <c r="F89" i="11"/>
  <c r="F90" i="11"/>
  <c r="F91" i="11"/>
  <c r="F92" i="11"/>
  <c r="F93" i="11"/>
  <c r="F94" i="11"/>
  <c r="F95" i="11"/>
  <c r="F96" i="11"/>
  <c r="F97" i="11"/>
  <c r="F98" i="11"/>
  <c r="F99" i="11"/>
  <c r="F100" i="11"/>
  <c r="F101" i="11"/>
  <c r="F102" i="11"/>
  <c r="F103" i="11"/>
  <c r="F104" i="11"/>
  <c r="F105" i="11"/>
  <c r="G126" i="13"/>
  <c r="G110" i="13"/>
  <c r="G77" i="13"/>
  <c r="AM5" i="11"/>
  <c r="F57" i="20"/>
  <c r="E47" i="11"/>
  <c r="F53" i="20"/>
  <c r="E31" i="20"/>
  <c r="F49" i="20"/>
  <c r="F7" i="20"/>
  <c r="F40" i="11"/>
  <c r="F56" i="11"/>
  <c r="F65" i="11"/>
  <c r="F66" i="11"/>
  <c r="F67" i="11"/>
  <c r="F68" i="11"/>
  <c r="F69" i="11"/>
  <c r="F70" i="11"/>
  <c r="N96" i="20"/>
  <c r="S96" i="20" s="1"/>
  <c r="C6" i="2"/>
  <c r="C16" i="2" s="1"/>
  <c r="L96" i="20"/>
  <c r="Q96" i="20" s="1"/>
  <c r="J69" i="20"/>
  <c r="F69" i="5"/>
  <c r="B69" i="11"/>
  <c r="H69" i="11" s="1"/>
  <c r="O103" i="20"/>
  <c r="T103" i="20" s="1"/>
  <c r="D11" i="2"/>
  <c r="D21" i="2" s="1"/>
  <c r="C21" i="2"/>
  <c r="C14" i="18" s="1"/>
  <c r="C48" i="18" s="1"/>
  <c r="E66" i="10"/>
  <c r="E67" i="10" s="1"/>
  <c r="F64" i="10" s="1"/>
  <c r="F65" i="10" s="1"/>
  <c r="F101" i="10" s="1"/>
  <c r="C66" i="10"/>
  <c r="C67" i="10" s="1"/>
  <c r="D64" i="10" s="1"/>
  <c r="D65" i="10" s="1"/>
  <c r="D101" i="10" s="1"/>
  <c r="C90" i="10"/>
  <c r="C110" i="10" s="1"/>
  <c r="F91" i="10"/>
  <c r="F111" i="10" s="1"/>
  <c r="F79" i="10"/>
  <c r="F80" i="10" s="1"/>
  <c r="N97" i="20"/>
  <c r="S97" i="20" s="1"/>
  <c r="E4" i="10"/>
  <c r="C119" i="10"/>
  <c r="C6" i="7" s="1"/>
  <c r="D20" i="30"/>
  <c r="C47" i="7"/>
  <c r="G87" i="13"/>
  <c r="G113" i="13"/>
  <c r="G97" i="13"/>
  <c r="G123" i="13"/>
  <c r="G107" i="13"/>
  <c r="G104" i="13"/>
  <c r="G89" i="13"/>
  <c r="G102" i="13"/>
  <c r="G83" i="13"/>
  <c r="G93" i="13"/>
  <c r="G119" i="13"/>
  <c r="G95" i="13"/>
  <c r="G132" i="13"/>
  <c r="G100" i="13"/>
  <c r="G85" i="13"/>
  <c r="D9" i="11"/>
  <c r="D11" i="11"/>
  <c r="D13" i="11"/>
  <c r="D15" i="11"/>
  <c r="D17" i="11"/>
  <c r="D18" i="11"/>
  <c r="D19" i="11"/>
  <c r="D21" i="11"/>
  <c r="D23" i="11"/>
  <c r="D25" i="11"/>
  <c r="D27" i="11"/>
  <c r="D29" i="11"/>
  <c r="D30" i="11"/>
  <c r="D32" i="11"/>
  <c r="D34" i="11"/>
  <c r="D36" i="11"/>
  <c r="D39" i="11"/>
  <c r="D42" i="11"/>
  <c r="D44" i="11"/>
  <c r="D45" i="11"/>
  <c r="D47" i="11"/>
  <c r="D49" i="11"/>
  <c r="D51" i="11"/>
  <c r="D53" i="11"/>
  <c r="D55" i="11"/>
  <c r="D58" i="11"/>
  <c r="D60" i="11"/>
  <c r="D62" i="11"/>
  <c r="D64" i="11"/>
  <c r="G130" i="13"/>
  <c r="G98" i="13"/>
  <c r="G79" i="13"/>
  <c r="G121" i="13"/>
  <c r="G115" i="13"/>
  <c r="G91" i="13"/>
  <c r="G128" i="13"/>
  <c r="G112" i="13"/>
  <c r="G81" i="13"/>
  <c r="N62" i="7"/>
  <c r="I4" i="7"/>
  <c r="C38" i="7" s="1"/>
  <c r="C45" i="7"/>
  <c r="BH25" i="29"/>
  <c r="BB25" i="29" s="1"/>
  <c r="B47" i="6"/>
  <c r="AU38" i="11"/>
  <c r="H38" i="11"/>
  <c r="H36" i="20"/>
  <c r="I36" i="20"/>
  <c r="K36" i="20"/>
  <c r="J36" i="20"/>
  <c r="M101" i="20"/>
  <c r="R101" i="20" s="1"/>
  <c r="O101" i="20"/>
  <c r="T101" i="20" s="1"/>
  <c r="N101" i="20"/>
  <c r="S101" i="20" s="1"/>
  <c r="H49" i="11"/>
  <c r="H54" i="11"/>
  <c r="H13" i="11"/>
  <c r="D34" i="5"/>
  <c r="B34" i="20"/>
  <c r="B34" i="11"/>
  <c r="D36" i="5"/>
  <c r="B36" i="11"/>
  <c r="AK37" i="11" s="1"/>
  <c r="D44" i="5"/>
  <c r="B44" i="20"/>
  <c r="B44" i="11"/>
  <c r="D63" i="5"/>
  <c r="B63" i="20"/>
  <c r="B63" i="11"/>
  <c r="D65" i="5"/>
  <c r="F65" i="5" s="1"/>
  <c r="B65" i="20"/>
  <c r="B65" i="11"/>
  <c r="O104" i="20"/>
  <c r="T104" i="20" s="1"/>
  <c r="N104" i="20"/>
  <c r="S104" i="20" s="1"/>
  <c r="M104" i="20"/>
  <c r="R104" i="20" s="1"/>
  <c r="L104" i="20"/>
  <c r="Q104" i="20" s="1"/>
  <c r="C16" i="20"/>
  <c r="K16" i="20"/>
  <c r="J16" i="20"/>
  <c r="I16" i="20"/>
  <c r="AK10" i="11"/>
  <c r="C9" i="11"/>
  <c r="AU9" i="11"/>
  <c r="D14" i="5"/>
  <c r="B14" i="20"/>
  <c r="B14" i="11"/>
  <c r="B23" i="20"/>
  <c r="B23" i="11"/>
  <c r="D25" i="5"/>
  <c r="B25" i="20"/>
  <c r="B25" i="11"/>
  <c r="B27" i="20"/>
  <c r="B27" i="11"/>
  <c r="D27" i="5"/>
  <c r="H29" i="11"/>
  <c r="AK30" i="11"/>
  <c r="C29" i="11"/>
  <c r="B38" i="6"/>
  <c r="H55" i="11"/>
  <c r="H64" i="11"/>
  <c r="H12" i="11"/>
  <c r="H33" i="11"/>
  <c r="H19" i="11"/>
  <c r="H35" i="11"/>
  <c r="H62" i="11"/>
  <c r="H39" i="11"/>
  <c r="H9" i="11"/>
  <c r="C36" i="20"/>
  <c r="AK53" i="11"/>
  <c r="C52" i="11"/>
  <c r="I48" i="20"/>
  <c r="K48" i="20"/>
  <c r="H48" i="20"/>
  <c r="J48" i="20"/>
  <c r="AU58" i="11"/>
  <c r="J54" i="20"/>
  <c r="M97" i="20"/>
  <c r="R97" i="20" s="1"/>
  <c r="N103" i="20"/>
  <c r="S103" i="20" s="1"/>
  <c r="M103" i="20"/>
  <c r="R103" i="20" s="1"/>
  <c r="L103" i="20"/>
  <c r="Q103" i="20" s="1"/>
  <c r="L97" i="20"/>
  <c r="Q97" i="20" s="1"/>
  <c r="L101" i="20"/>
  <c r="Q101" i="20" s="1"/>
  <c r="O96" i="20"/>
  <c r="T96" i="20" s="1"/>
  <c r="C96" i="18"/>
  <c r="C105" i="18" s="1"/>
  <c r="C97" i="18"/>
  <c r="C19" i="18"/>
  <c r="D19" i="18" s="1"/>
  <c r="E19" i="18" s="1"/>
  <c r="F19" i="18" s="1"/>
  <c r="C18" i="18"/>
  <c r="AL10" i="11"/>
  <c r="F66" i="10"/>
  <c r="F67" i="10" s="1"/>
  <c r="D90" i="10"/>
  <c r="D67" i="10"/>
  <c r="E64" i="10" s="1"/>
  <c r="E65" i="10" s="1"/>
  <c r="E101" i="10" s="1"/>
  <c r="C65" i="10"/>
  <c r="C101" i="10" s="1"/>
  <c r="E90" i="10"/>
  <c r="H93" i="11"/>
  <c r="AK50" i="11"/>
  <c r="AU49" i="11"/>
  <c r="C49" i="11"/>
  <c r="C38" i="11"/>
  <c r="AK39" i="11"/>
  <c r="I32" i="20"/>
  <c r="AK34" i="11"/>
  <c r="B42" i="6"/>
  <c r="M105" i="20"/>
  <c r="R105" i="20" s="1"/>
  <c r="O100" i="20"/>
  <c r="T100" i="20" s="1"/>
  <c r="D49" i="5"/>
  <c r="B49" i="20"/>
  <c r="B51" i="11"/>
  <c r="D51" i="5"/>
  <c r="B51" i="20"/>
  <c r="D53" i="5"/>
  <c r="B53" i="11"/>
  <c r="D59" i="5"/>
  <c r="F59" i="5" s="1"/>
  <c r="B59" i="20"/>
  <c r="B59" i="11"/>
  <c r="D61" i="5"/>
  <c r="B61" i="20"/>
  <c r="B61" i="11"/>
  <c r="AK93" i="11"/>
  <c r="AK85" i="11"/>
  <c r="M4" i="5"/>
  <c r="D38" i="5"/>
  <c r="B38" i="20"/>
  <c r="B40" i="20"/>
  <c r="B40" i="11"/>
  <c r="B42" i="20"/>
  <c r="B42" i="11"/>
  <c r="D42" i="5"/>
  <c r="AK44" i="11"/>
  <c r="D17" i="2"/>
  <c r="D11" i="5"/>
  <c r="B11" i="20"/>
  <c r="B11" i="11"/>
  <c r="B13" i="20"/>
  <c r="D13" i="5"/>
  <c r="B31" i="11"/>
  <c r="D31" i="5"/>
  <c r="D85" i="5"/>
  <c r="F85" i="5" s="1"/>
  <c r="F35" i="11"/>
  <c r="F35" i="20"/>
  <c r="F16" i="11"/>
  <c r="F16" i="20"/>
  <c r="F8" i="20"/>
  <c r="F8" i="11"/>
  <c r="F61" i="11"/>
  <c r="F61" i="20"/>
  <c r="F10" i="20"/>
  <c r="F10" i="11"/>
  <c r="D21" i="30"/>
  <c r="C12" i="2" s="1"/>
  <c r="O97" i="20"/>
  <c r="T97" i="20" s="1"/>
  <c r="B28" i="11"/>
  <c r="B24" i="20"/>
  <c r="B89" i="20"/>
  <c r="B85" i="11"/>
  <c r="B37" i="11"/>
  <c r="B15" i="20"/>
  <c r="B22" i="11"/>
  <c r="B28" i="20"/>
  <c r="F100" i="5"/>
  <c r="B85" i="20"/>
  <c r="B37" i="20"/>
  <c r="B26" i="11"/>
  <c r="D98" i="5"/>
  <c r="B82" i="20"/>
  <c r="AK105" i="11"/>
  <c r="H104" i="11"/>
  <c r="AU104" i="11"/>
  <c r="F47" i="20"/>
  <c r="F47" i="11"/>
  <c r="F34" i="20"/>
  <c r="D47" i="7"/>
  <c r="D39" i="7"/>
  <c r="F48" i="20"/>
  <c r="F48" i="11"/>
  <c r="E19" i="20"/>
  <c r="E19" i="11"/>
  <c r="E9" i="11"/>
  <c r="E9" i="20"/>
  <c r="E46" i="7"/>
  <c r="D41" i="7"/>
  <c r="D49" i="7"/>
  <c r="F131" i="10"/>
  <c r="P57" i="7"/>
  <c r="C131" i="10"/>
  <c r="C48" i="1"/>
  <c r="D127" i="10"/>
  <c r="O56" i="7"/>
  <c r="P55" i="7"/>
  <c r="E123" i="10"/>
  <c r="C123" i="10"/>
  <c r="N55" i="7"/>
  <c r="E115" i="10"/>
  <c r="P53" i="7"/>
  <c r="F9" i="11"/>
  <c r="F46" i="11"/>
  <c r="F54" i="11"/>
  <c r="E22" i="11"/>
  <c r="E41" i="20"/>
  <c r="F33" i="11"/>
  <c r="E42" i="11"/>
  <c r="E42" i="20"/>
  <c r="C40" i="7"/>
  <c r="C48" i="7"/>
  <c r="F14" i="20"/>
  <c r="F14" i="11"/>
  <c r="E14" i="11"/>
  <c r="E14" i="20"/>
  <c r="E24" i="20"/>
  <c r="E24" i="11"/>
  <c r="E33" i="11"/>
  <c r="E33" i="20"/>
  <c r="G75" i="13"/>
  <c r="D7" i="20"/>
  <c r="BN27" i="29"/>
  <c r="M100" i="20" l="1"/>
  <c r="R100" i="20" s="1"/>
  <c r="O105" i="20"/>
  <c r="T105" i="20" s="1"/>
  <c r="AU93" i="11"/>
  <c r="F11" i="13"/>
  <c r="D79" i="10"/>
  <c r="D80" i="10" s="1"/>
  <c r="E77" i="10" s="1"/>
  <c r="H94" i="11"/>
  <c r="H88" i="11"/>
  <c r="J60" i="20"/>
  <c r="C81" i="11"/>
  <c r="N100" i="20"/>
  <c r="S100" i="20" s="1"/>
  <c r="N105" i="20"/>
  <c r="S105" i="20" s="1"/>
  <c r="AK94" i="11"/>
  <c r="AU94" i="11"/>
  <c r="AU88" i="11"/>
  <c r="AK89" i="11"/>
  <c r="I60" i="20"/>
  <c r="B102" i="6"/>
  <c r="AK95" i="11"/>
  <c r="K60" i="20"/>
  <c r="K92" i="20"/>
  <c r="H87" i="11"/>
  <c r="AK88" i="11"/>
  <c r="C69" i="18"/>
  <c r="D78" i="10"/>
  <c r="D102" i="10" s="1"/>
  <c r="E11" i="2"/>
  <c r="F11" i="2" s="1"/>
  <c r="D12" i="13"/>
  <c r="C106" i="18"/>
  <c r="F127" i="10"/>
  <c r="F8" i="7" s="1"/>
  <c r="F78" i="10"/>
  <c r="F102" i="10" s="1"/>
  <c r="C91" i="10"/>
  <c r="C111" i="10" s="1"/>
  <c r="E91" i="10"/>
  <c r="E111" i="10" s="1"/>
  <c r="C78" i="10"/>
  <c r="C102" i="10" s="1"/>
  <c r="E78" i="10"/>
  <c r="E102" i="10" s="1"/>
  <c r="C83" i="20"/>
  <c r="AU41" i="11"/>
  <c r="H45" i="11"/>
  <c r="AK59" i="11"/>
  <c r="J68" i="20"/>
  <c r="K69" i="20"/>
  <c r="K58" i="20"/>
  <c r="B54" i="6"/>
  <c r="I46" i="20"/>
  <c r="H58" i="20"/>
  <c r="B33" i="6"/>
  <c r="H54" i="20"/>
  <c r="AK25" i="11"/>
  <c r="K68" i="20"/>
  <c r="K67" i="20"/>
  <c r="J67" i="20"/>
  <c r="K54" i="20"/>
  <c r="C24" i="11"/>
  <c r="H52" i="11"/>
  <c r="AU60" i="11"/>
  <c r="H68" i="20"/>
  <c r="AK47" i="11"/>
  <c r="I67" i="20"/>
  <c r="H67" i="20"/>
  <c r="H83" i="20"/>
  <c r="O83" i="20" s="1"/>
  <c r="T83" i="20" s="1"/>
  <c r="J83" i="20"/>
  <c r="H19" i="20"/>
  <c r="B67" i="6"/>
  <c r="H24" i="11"/>
  <c r="AU52" i="11"/>
  <c r="C60" i="11"/>
  <c r="I68" i="20"/>
  <c r="C56" i="20"/>
  <c r="B82" i="6"/>
  <c r="AU73" i="11"/>
  <c r="C54" i="20"/>
  <c r="AK68" i="11"/>
  <c r="C71" i="11"/>
  <c r="AU81" i="11"/>
  <c r="C55" i="20"/>
  <c r="AU71" i="11"/>
  <c r="H60" i="20"/>
  <c r="M95" i="20"/>
  <c r="R95" i="20" s="1"/>
  <c r="O95" i="20"/>
  <c r="T95" i="20" s="1"/>
  <c r="N95" i="20"/>
  <c r="S95" i="20" s="1"/>
  <c r="B17" i="6"/>
  <c r="AK9" i="11"/>
  <c r="H79" i="11"/>
  <c r="J75" i="20"/>
  <c r="H50" i="11"/>
  <c r="AK82" i="11"/>
  <c r="H81" i="11"/>
  <c r="I19" i="20"/>
  <c r="K29" i="20"/>
  <c r="H18" i="11"/>
  <c r="AU18" i="11"/>
  <c r="AK61" i="11"/>
  <c r="H67" i="11"/>
  <c r="C17" i="11"/>
  <c r="J29" i="20"/>
  <c r="H71" i="11"/>
  <c r="C46" i="11"/>
  <c r="H75" i="20"/>
  <c r="B50" i="6"/>
  <c r="B57" i="6"/>
  <c r="AK72" i="11"/>
  <c r="AU50" i="11"/>
  <c r="H73" i="11"/>
  <c r="C48" i="11"/>
  <c r="C73" i="11"/>
  <c r="K50" i="20"/>
  <c r="K19" i="20"/>
  <c r="AK31" i="11"/>
  <c r="J19" i="20"/>
  <c r="H60" i="11"/>
  <c r="H41" i="11"/>
  <c r="H48" i="11"/>
  <c r="H29" i="20"/>
  <c r="B55" i="6"/>
  <c r="AK42" i="11"/>
  <c r="AK49" i="11"/>
  <c r="H46" i="11"/>
  <c r="I29" i="20"/>
  <c r="B59" i="6"/>
  <c r="C50" i="11"/>
  <c r="I75" i="20"/>
  <c r="C75" i="20"/>
  <c r="C50" i="20"/>
  <c r="I50" i="20"/>
  <c r="H50" i="20"/>
  <c r="K46" i="20"/>
  <c r="H46" i="20"/>
  <c r="L99" i="20"/>
  <c r="Q99" i="20" s="1"/>
  <c r="M99" i="20"/>
  <c r="R99" i="20" s="1"/>
  <c r="N99" i="20"/>
  <c r="S99" i="20" s="1"/>
  <c r="H94" i="20"/>
  <c r="K94" i="20"/>
  <c r="J94" i="20"/>
  <c r="I94" i="20"/>
  <c r="C94" i="20"/>
  <c r="AK46" i="11"/>
  <c r="C45" i="11"/>
  <c r="C24" i="7"/>
  <c r="C104" i="18"/>
  <c r="E45" i="7"/>
  <c r="H73" i="20"/>
  <c r="C58" i="20"/>
  <c r="I58" i="20"/>
  <c r="I55" i="20"/>
  <c r="L93" i="20"/>
  <c r="Q93" i="20" s="1"/>
  <c r="I56" i="20"/>
  <c r="H56" i="20"/>
  <c r="J56" i="20"/>
  <c r="AK57" i="11"/>
  <c r="AU56" i="11"/>
  <c r="H56" i="11"/>
  <c r="C56" i="11"/>
  <c r="B65" i="6"/>
  <c r="AK76" i="11"/>
  <c r="AU75" i="11"/>
  <c r="H75" i="11"/>
  <c r="B84" i="6"/>
  <c r="C75" i="11"/>
  <c r="C41" i="20"/>
  <c r="K41" i="20"/>
  <c r="B88" i="6"/>
  <c r="C79" i="11"/>
  <c r="AK84" i="11"/>
  <c r="C83" i="11"/>
  <c r="AU83" i="11"/>
  <c r="B92" i="6"/>
  <c r="H83" i="11"/>
  <c r="I79" i="20"/>
  <c r="K79" i="20"/>
  <c r="H79" i="20"/>
  <c r="C79" i="20"/>
  <c r="J79" i="20"/>
  <c r="AK90" i="11"/>
  <c r="H89" i="11"/>
  <c r="B98" i="6"/>
  <c r="C89" i="11"/>
  <c r="AU89" i="11"/>
  <c r="I71" i="20"/>
  <c r="C71" i="20"/>
  <c r="K71" i="20"/>
  <c r="H71" i="20"/>
  <c r="J71" i="20"/>
  <c r="J81" i="20"/>
  <c r="C81" i="20"/>
  <c r="I81" i="20"/>
  <c r="H81" i="20"/>
  <c r="K81" i="20"/>
  <c r="C57" i="11"/>
  <c r="H57" i="11"/>
  <c r="I69" i="20"/>
  <c r="J41" i="20"/>
  <c r="H41" i="20"/>
  <c r="AU79" i="11"/>
  <c r="AU87" i="11"/>
  <c r="AK92" i="11"/>
  <c r="C91" i="11"/>
  <c r="AU91" i="11"/>
  <c r="B100" i="6"/>
  <c r="H91" i="11"/>
  <c r="J87" i="20"/>
  <c r="I87" i="20"/>
  <c r="C87" i="20"/>
  <c r="K87" i="20"/>
  <c r="H87" i="20"/>
  <c r="AK58" i="11"/>
  <c r="I41" i="20"/>
  <c r="C69" i="20"/>
  <c r="B76" i="6"/>
  <c r="C67" i="11"/>
  <c r="C73" i="20"/>
  <c r="I73" i="20"/>
  <c r="J73" i="20"/>
  <c r="AK18" i="11"/>
  <c r="H17" i="11"/>
  <c r="AU17" i="11"/>
  <c r="O74" i="20"/>
  <c r="T74" i="20" s="1"/>
  <c r="O93" i="20"/>
  <c r="T93" i="20" s="1"/>
  <c r="N102" i="20"/>
  <c r="S102" i="20" s="1"/>
  <c r="M91" i="20"/>
  <c r="R91" i="20" s="1"/>
  <c r="N88" i="20"/>
  <c r="S88" i="20" s="1"/>
  <c r="M102" i="20"/>
  <c r="R102" i="20" s="1"/>
  <c r="N93" i="20"/>
  <c r="S93" i="20" s="1"/>
  <c r="M93" i="20"/>
  <c r="R93" i="20" s="1"/>
  <c r="O102" i="20"/>
  <c r="T102" i="20" s="1"/>
  <c r="O91" i="20"/>
  <c r="T91" i="20" s="1"/>
  <c r="N98" i="20"/>
  <c r="S98" i="20" s="1"/>
  <c r="L88" i="20"/>
  <c r="Q88" i="20" s="1"/>
  <c r="C49" i="7"/>
  <c r="E39" i="7"/>
  <c r="L102" i="20"/>
  <c r="Q102" i="20" s="1"/>
  <c r="N91" i="20"/>
  <c r="S91" i="20" s="1"/>
  <c r="M88" i="20"/>
  <c r="R88" i="20" s="1"/>
  <c r="AU20" i="11"/>
  <c r="C20" i="11"/>
  <c r="H16" i="11"/>
  <c r="AU16" i="11"/>
  <c r="J18" i="20"/>
  <c r="C18" i="20"/>
  <c r="K18" i="20"/>
  <c r="I18" i="20"/>
  <c r="H18" i="20"/>
  <c r="AU30" i="11"/>
  <c r="L74" i="20"/>
  <c r="I74" i="11" s="1"/>
  <c r="O88" i="20"/>
  <c r="T88" i="20" s="1"/>
  <c r="M74" i="20"/>
  <c r="J8" i="20"/>
  <c r="C8" i="20"/>
  <c r="K8" i="20"/>
  <c r="I8" i="20"/>
  <c r="H8" i="20"/>
  <c r="AK81" i="11"/>
  <c r="AU80" i="11"/>
  <c r="B89" i="6"/>
  <c r="H80" i="11"/>
  <c r="C80" i="11"/>
  <c r="H76" i="11"/>
  <c r="B85" i="6"/>
  <c r="C76" i="11"/>
  <c r="AU76" i="11"/>
  <c r="B41" i="6"/>
  <c r="AU32" i="11"/>
  <c r="C32" i="11"/>
  <c r="AK33" i="11"/>
  <c r="M98" i="20"/>
  <c r="R98" i="20" s="1"/>
  <c r="C30" i="11"/>
  <c r="C8" i="11"/>
  <c r="C18" i="11"/>
  <c r="N74" i="20"/>
  <c r="S74" i="20" s="1"/>
  <c r="L91" i="20"/>
  <c r="Q91" i="20" s="1"/>
  <c r="AU43" i="11"/>
  <c r="J90" i="20"/>
  <c r="I90" i="20"/>
  <c r="H90" i="20"/>
  <c r="C90" i="20"/>
  <c r="K90" i="20"/>
  <c r="K32" i="20"/>
  <c r="J32" i="20"/>
  <c r="C32" i="20"/>
  <c r="H92" i="20"/>
  <c r="I92" i="20"/>
  <c r="J92" i="20"/>
  <c r="J62" i="20"/>
  <c r="H62" i="20"/>
  <c r="I62" i="20"/>
  <c r="K62" i="20"/>
  <c r="C62" i="20"/>
  <c r="AK73" i="11"/>
  <c r="H72" i="11"/>
  <c r="B81" i="6"/>
  <c r="C72" i="11"/>
  <c r="AU72" i="11"/>
  <c r="AK71" i="11"/>
  <c r="H70" i="11"/>
  <c r="C70" i="11"/>
  <c r="B79" i="6"/>
  <c r="AU70" i="11"/>
  <c r="H70" i="20"/>
  <c r="K70" i="20"/>
  <c r="C70" i="20"/>
  <c r="I70" i="20"/>
  <c r="J70" i="20"/>
  <c r="H86" i="20"/>
  <c r="K86" i="20"/>
  <c r="I86" i="20"/>
  <c r="C86" i="20"/>
  <c r="J86" i="20"/>
  <c r="H66" i="20"/>
  <c r="C66" i="20"/>
  <c r="K66" i="20"/>
  <c r="I66" i="20"/>
  <c r="K64" i="20"/>
  <c r="J64" i="20"/>
  <c r="H64" i="20"/>
  <c r="I64" i="20"/>
  <c r="C64" i="20"/>
  <c r="K72" i="20"/>
  <c r="C72" i="20"/>
  <c r="I72" i="20"/>
  <c r="J72" i="20"/>
  <c r="H72" i="20"/>
  <c r="O98" i="20"/>
  <c r="T98" i="20" s="1"/>
  <c r="C16" i="11"/>
  <c r="K20" i="20"/>
  <c r="J20" i="20"/>
  <c r="H20" i="20"/>
  <c r="I20" i="20"/>
  <c r="C20" i="20"/>
  <c r="C12" i="20"/>
  <c r="K12" i="20"/>
  <c r="H12" i="20"/>
  <c r="I12" i="20"/>
  <c r="J12" i="20"/>
  <c r="I35" i="20"/>
  <c r="H35" i="20"/>
  <c r="J35" i="20"/>
  <c r="C35" i="20"/>
  <c r="K35" i="20"/>
  <c r="AK17" i="11"/>
  <c r="H43" i="11"/>
  <c r="B52" i="6"/>
  <c r="AK77" i="11"/>
  <c r="L98" i="20"/>
  <c r="Q98" i="20" s="1"/>
  <c r="B29" i="6"/>
  <c r="H30" i="11"/>
  <c r="AU57" i="11"/>
  <c r="H8" i="11"/>
  <c r="AK19" i="11"/>
  <c r="H20" i="11"/>
  <c r="J66" i="20"/>
  <c r="J84" i="20"/>
  <c r="H84" i="20"/>
  <c r="I84" i="20"/>
  <c r="C84" i="20"/>
  <c r="K84" i="20"/>
  <c r="C26" i="20"/>
  <c r="H26" i="20"/>
  <c r="I26" i="20"/>
  <c r="K26" i="20"/>
  <c r="J26" i="20"/>
  <c r="AK67" i="11"/>
  <c r="C66" i="11"/>
  <c r="B75" i="6"/>
  <c r="AU66" i="11"/>
  <c r="H10" i="20"/>
  <c r="I10" i="20"/>
  <c r="K10" i="20"/>
  <c r="J10" i="20"/>
  <c r="C10" i="20"/>
  <c r="J55" i="20"/>
  <c r="H55" i="20"/>
  <c r="H39" i="20"/>
  <c r="J39" i="20"/>
  <c r="K39" i="20"/>
  <c r="I39" i="20"/>
  <c r="C39" i="20"/>
  <c r="C33" i="20"/>
  <c r="I33" i="20"/>
  <c r="H33" i="20"/>
  <c r="K33" i="20"/>
  <c r="J33" i="20"/>
  <c r="AK91" i="11"/>
  <c r="B99" i="6"/>
  <c r="AU90" i="11"/>
  <c r="H90" i="11"/>
  <c r="C90" i="11"/>
  <c r="H76" i="20"/>
  <c r="J76" i="20"/>
  <c r="C76" i="20"/>
  <c r="I76" i="20"/>
  <c r="C103" i="18"/>
  <c r="K30" i="20"/>
  <c r="J30" i="20"/>
  <c r="C30" i="20"/>
  <c r="H30" i="20"/>
  <c r="I30" i="20"/>
  <c r="K78" i="20"/>
  <c r="J78" i="20"/>
  <c r="I78" i="20"/>
  <c r="C78" i="20"/>
  <c r="H78" i="20"/>
  <c r="K77" i="20"/>
  <c r="H77" i="20"/>
  <c r="J77" i="20"/>
  <c r="C77" i="20"/>
  <c r="I77" i="20"/>
  <c r="AK16" i="11"/>
  <c r="B24" i="6"/>
  <c r="C15" i="11"/>
  <c r="AU15" i="11"/>
  <c r="C102" i="18"/>
  <c r="C101" i="18" s="1"/>
  <c r="C111" i="18"/>
  <c r="C107" i="18"/>
  <c r="C68" i="18"/>
  <c r="C53" i="18" s="1"/>
  <c r="AK96" i="11"/>
  <c r="AU95" i="11"/>
  <c r="C95" i="11"/>
  <c r="B104" i="6"/>
  <c r="H95" i="11"/>
  <c r="AK87" i="11"/>
  <c r="C86" i="11"/>
  <c r="B95" i="6"/>
  <c r="AU86" i="11"/>
  <c r="H86" i="11"/>
  <c r="J47" i="20"/>
  <c r="C47" i="20"/>
  <c r="I47" i="20"/>
  <c r="H47" i="20"/>
  <c r="K47" i="20"/>
  <c r="K80" i="20"/>
  <c r="J80" i="20"/>
  <c r="I80" i="20"/>
  <c r="C80" i="20"/>
  <c r="H80" i="20"/>
  <c r="AK22" i="11"/>
  <c r="AU21" i="11"/>
  <c r="B30" i="6"/>
  <c r="C21" i="11"/>
  <c r="C9" i="20"/>
  <c r="I9" i="20"/>
  <c r="J9" i="20"/>
  <c r="H9" i="20"/>
  <c r="K9" i="20"/>
  <c r="H6" i="20"/>
  <c r="I6" i="20"/>
  <c r="K6" i="20"/>
  <c r="J6" i="20"/>
  <c r="C6" i="20"/>
  <c r="C113" i="18"/>
  <c r="K57" i="20"/>
  <c r="H57" i="20"/>
  <c r="J57" i="20"/>
  <c r="C57" i="20"/>
  <c r="I57" i="20"/>
  <c r="AK48" i="11"/>
  <c r="C47" i="11"/>
  <c r="B56" i="6"/>
  <c r="AU47" i="11"/>
  <c r="B87" i="6"/>
  <c r="AU78" i="11"/>
  <c r="C78" i="11"/>
  <c r="AK79" i="11"/>
  <c r="H78" i="11"/>
  <c r="D22" i="30"/>
  <c r="AK83" i="11"/>
  <c r="B91" i="6"/>
  <c r="AU82" i="11"/>
  <c r="C82" i="11"/>
  <c r="H82" i="11"/>
  <c r="C22" i="20"/>
  <c r="H22" i="20"/>
  <c r="I22" i="20"/>
  <c r="K22" i="20"/>
  <c r="J22" i="20"/>
  <c r="I21" i="20"/>
  <c r="H21" i="20"/>
  <c r="J21" i="20"/>
  <c r="K21" i="20"/>
  <c r="C21" i="20"/>
  <c r="AK7" i="11"/>
  <c r="C6" i="11"/>
  <c r="H6" i="11"/>
  <c r="AU6" i="11"/>
  <c r="B15" i="6"/>
  <c r="C40" i="13"/>
  <c r="C81" i="7"/>
  <c r="F40" i="13"/>
  <c r="C11" i="12"/>
  <c r="F41" i="13"/>
  <c r="BC25" i="29"/>
  <c r="E40" i="7"/>
  <c r="C42" i="7"/>
  <c r="C50" i="7"/>
  <c r="C46" i="7"/>
  <c r="F21" i="13"/>
  <c r="F23" i="13"/>
  <c r="F19" i="13"/>
  <c r="F22" i="13"/>
  <c r="F20" i="13"/>
  <c r="F42" i="13"/>
  <c r="D12" i="12"/>
  <c r="C42" i="13"/>
  <c r="C43" i="13"/>
  <c r="D14" i="12"/>
  <c r="C12" i="12"/>
  <c r="D43" i="13"/>
  <c r="E43" i="13"/>
  <c r="C13" i="12"/>
  <c r="C11" i="13"/>
  <c r="C60" i="13" s="1"/>
  <c r="C14" i="12"/>
  <c r="D11" i="12"/>
  <c r="C41" i="13"/>
  <c r="F43" i="13"/>
  <c r="F12" i="13"/>
  <c r="F26" i="7" s="1"/>
  <c r="C51" i="18"/>
  <c r="D16" i="2"/>
  <c r="C8" i="18"/>
  <c r="AK70" i="11"/>
  <c r="B78" i="6"/>
  <c r="C69" i="11"/>
  <c r="AU69" i="11"/>
  <c r="F20" i="30"/>
  <c r="C8" i="2"/>
  <c r="F4" i="10"/>
  <c r="F4" i="7" s="1"/>
  <c r="E4" i="7"/>
  <c r="E24" i="7"/>
  <c r="D61" i="13"/>
  <c r="D26" i="7"/>
  <c r="C50" i="18"/>
  <c r="C52" i="18"/>
  <c r="D13" i="12"/>
  <c r="C27" i="20"/>
  <c r="I27" i="20"/>
  <c r="J27" i="20"/>
  <c r="H27" i="20"/>
  <c r="K27" i="20"/>
  <c r="H23" i="11"/>
  <c r="C23" i="11"/>
  <c r="B32" i="6"/>
  <c r="AK24" i="11"/>
  <c r="AU23" i="11"/>
  <c r="C36" i="11"/>
  <c r="B45" i="6"/>
  <c r="AU36" i="11"/>
  <c r="H36" i="11"/>
  <c r="I65" i="20"/>
  <c r="C65" i="20"/>
  <c r="H65" i="20"/>
  <c r="K65" i="20"/>
  <c r="J65" i="20"/>
  <c r="J34" i="20"/>
  <c r="C34" i="20"/>
  <c r="H34" i="20"/>
  <c r="I34" i="20"/>
  <c r="K34" i="20"/>
  <c r="AK26" i="11"/>
  <c r="H25" i="11"/>
  <c r="AU25" i="11"/>
  <c r="C25" i="11"/>
  <c r="B34" i="6"/>
  <c r="J23" i="20"/>
  <c r="K23" i="20"/>
  <c r="C23" i="20"/>
  <c r="H23" i="20"/>
  <c r="I23" i="20"/>
  <c r="AK15" i="11"/>
  <c r="B23" i="6"/>
  <c r="C14" i="11"/>
  <c r="AU14" i="11"/>
  <c r="H14" i="11"/>
  <c r="B72" i="6"/>
  <c r="C63" i="11"/>
  <c r="AU63" i="11"/>
  <c r="AK64" i="11"/>
  <c r="H63" i="11"/>
  <c r="B53" i="6"/>
  <c r="C44" i="11"/>
  <c r="H44" i="11"/>
  <c r="AU44" i="11"/>
  <c r="AK45" i="11"/>
  <c r="AK28" i="11"/>
  <c r="AU27" i="11"/>
  <c r="H27" i="11"/>
  <c r="B36" i="6"/>
  <c r="C27" i="11"/>
  <c r="J25" i="20"/>
  <c r="K25" i="20"/>
  <c r="C25" i="20"/>
  <c r="I25" i="20"/>
  <c r="H25" i="20"/>
  <c r="K14" i="20"/>
  <c r="J14" i="20"/>
  <c r="I14" i="20"/>
  <c r="H14" i="20"/>
  <c r="C14" i="20"/>
  <c r="AK66" i="11"/>
  <c r="B74" i="6"/>
  <c r="AU65" i="11"/>
  <c r="C65" i="11"/>
  <c r="H65" i="11"/>
  <c r="J63" i="20"/>
  <c r="K63" i="20"/>
  <c r="C63" i="20"/>
  <c r="I63" i="20"/>
  <c r="H63" i="20"/>
  <c r="J44" i="20"/>
  <c r="C44" i="20"/>
  <c r="H44" i="20"/>
  <c r="K44" i="20"/>
  <c r="I44" i="20"/>
  <c r="AK35" i="11"/>
  <c r="B43" i="6"/>
  <c r="H34" i="11"/>
  <c r="AU34" i="11"/>
  <c r="C34" i="11"/>
  <c r="D18" i="18"/>
  <c r="E18" i="18" s="1"/>
  <c r="F18" i="18" s="1"/>
  <c r="C67" i="18"/>
  <c r="C110" i="18"/>
  <c r="C112" i="18"/>
  <c r="C99" i="18"/>
  <c r="C114" i="18"/>
  <c r="C22" i="13"/>
  <c r="C23" i="13"/>
  <c r="C20" i="13"/>
  <c r="C21" i="13"/>
  <c r="C7" i="7"/>
  <c r="D8" i="7"/>
  <c r="F9" i="7"/>
  <c r="F25" i="7" s="1"/>
  <c r="F60" i="13"/>
  <c r="AK27" i="11"/>
  <c r="H26" i="11"/>
  <c r="C26" i="11"/>
  <c r="AU26" i="11"/>
  <c r="B35" i="6"/>
  <c r="H28" i="20"/>
  <c r="I28" i="20"/>
  <c r="J28" i="20"/>
  <c r="K28" i="20"/>
  <c r="C28" i="20"/>
  <c r="AK86" i="11"/>
  <c r="H85" i="11"/>
  <c r="AU85" i="11"/>
  <c r="B94" i="6"/>
  <c r="C85" i="11"/>
  <c r="E23" i="13"/>
  <c r="E21" i="13"/>
  <c r="E22" i="13"/>
  <c r="I13" i="20"/>
  <c r="H13" i="20"/>
  <c r="J13" i="20"/>
  <c r="K13" i="20"/>
  <c r="C13" i="20"/>
  <c r="E17" i="2"/>
  <c r="D9" i="18"/>
  <c r="J40" i="20"/>
  <c r="C40" i="20"/>
  <c r="H40" i="20"/>
  <c r="I40" i="20"/>
  <c r="K40" i="20"/>
  <c r="D14" i="18"/>
  <c r="D48" i="18" s="1"/>
  <c r="D50" i="18" s="1"/>
  <c r="C12" i="13"/>
  <c r="AK60" i="11"/>
  <c r="B68" i="6"/>
  <c r="C59" i="11"/>
  <c r="AU59" i="11"/>
  <c r="H59" i="11"/>
  <c r="E7" i="7"/>
  <c r="D23" i="13"/>
  <c r="D20" i="13"/>
  <c r="D21" i="13"/>
  <c r="D22" i="13"/>
  <c r="J82" i="20"/>
  <c r="I82" i="20"/>
  <c r="C82" i="20"/>
  <c r="H82" i="20"/>
  <c r="K82" i="20"/>
  <c r="C37" i="20"/>
  <c r="I37" i="20"/>
  <c r="H37" i="20"/>
  <c r="J37" i="20"/>
  <c r="K37" i="20"/>
  <c r="AK23" i="11"/>
  <c r="C22" i="11"/>
  <c r="AU22" i="11"/>
  <c r="H22" i="11"/>
  <c r="B31" i="6"/>
  <c r="H89" i="20"/>
  <c r="C89" i="20"/>
  <c r="K89" i="20"/>
  <c r="I89" i="20"/>
  <c r="J89" i="20"/>
  <c r="D12" i="2"/>
  <c r="C23" i="2"/>
  <c r="C16" i="18" s="1"/>
  <c r="C72" i="18" s="1"/>
  <c r="C74" i="18" s="1"/>
  <c r="C13" i="2"/>
  <c r="AK12" i="11"/>
  <c r="C11" i="11"/>
  <c r="AU11" i="11"/>
  <c r="H11" i="11"/>
  <c r="B20" i="6"/>
  <c r="AK43" i="11"/>
  <c r="B51" i="6"/>
  <c r="AU42" i="11"/>
  <c r="H42" i="11"/>
  <c r="C42" i="11"/>
  <c r="H38" i="20"/>
  <c r="I38" i="20"/>
  <c r="J38" i="20"/>
  <c r="K38" i="20"/>
  <c r="C38" i="20"/>
  <c r="AK62" i="11"/>
  <c r="H61" i="11"/>
  <c r="C61" i="11"/>
  <c r="B70" i="6"/>
  <c r="AU61" i="11"/>
  <c r="J59" i="20"/>
  <c r="H59" i="20"/>
  <c r="I59" i="20"/>
  <c r="K59" i="20"/>
  <c r="C59" i="20"/>
  <c r="H51" i="20"/>
  <c r="J51" i="20"/>
  <c r="C51" i="20"/>
  <c r="I51" i="20"/>
  <c r="K51" i="20"/>
  <c r="E110" i="10"/>
  <c r="E11" i="13"/>
  <c r="H49" i="20"/>
  <c r="C49" i="20"/>
  <c r="I49" i="20"/>
  <c r="K49" i="20"/>
  <c r="J49" i="20"/>
  <c r="E5" i="7"/>
  <c r="C9" i="7"/>
  <c r="D42" i="13"/>
  <c r="F14" i="12"/>
  <c r="E14" i="12"/>
  <c r="D41" i="13"/>
  <c r="E13" i="12"/>
  <c r="E11" i="12"/>
  <c r="F12" i="12"/>
  <c r="F13" i="12"/>
  <c r="F11" i="12"/>
  <c r="D40" i="13"/>
  <c r="E12" i="12"/>
  <c r="J85" i="20"/>
  <c r="I85" i="20"/>
  <c r="H85" i="20"/>
  <c r="C85" i="20"/>
  <c r="K85" i="20"/>
  <c r="C15" i="20"/>
  <c r="I15" i="20"/>
  <c r="H15" i="20"/>
  <c r="J15" i="20"/>
  <c r="K15" i="20"/>
  <c r="K24" i="20"/>
  <c r="J24" i="20"/>
  <c r="C24" i="20"/>
  <c r="I24" i="20"/>
  <c r="H24" i="20"/>
  <c r="F22" i="30"/>
  <c r="C9" i="2"/>
  <c r="AK32" i="11"/>
  <c r="AU31" i="11"/>
  <c r="B40" i="6"/>
  <c r="C31" i="11"/>
  <c r="H31" i="11"/>
  <c r="C11" i="20"/>
  <c r="H11" i="20"/>
  <c r="J11" i="20"/>
  <c r="I11" i="20"/>
  <c r="K11" i="20"/>
  <c r="J42" i="20"/>
  <c r="H42" i="20"/>
  <c r="I42" i="20"/>
  <c r="K42" i="20"/>
  <c r="C42" i="20"/>
  <c r="J61" i="20"/>
  <c r="K61" i="20"/>
  <c r="C61" i="20"/>
  <c r="I61" i="20"/>
  <c r="H61" i="20"/>
  <c r="BF29" i="29"/>
  <c r="AL11" i="11"/>
  <c r="AK38" i="11"/>
  <c r="C37" i="11"/>
  <c r="B46" i="6"/>
  <c r="AU37" i="11"/>
  <c r="H37" i="11"/>
  <c r="AU28" i="11"/>
  <c r="AK29" i="11"/>
  <c r="H28" i="11"/>
  <c r="B37" i="6"/>
  <c r="C28" i="11"/>
  <c r="E42" i="13"/>
  <c r="E41" i="13"/>
  <c r="AK41" i="11"/>
  <c r="B49" i="6"/>
  <c r="H40" i="11"/>
  <c r="C40" i="11"/>
  <c r="AU40" i="11"/>
  <c r="N4" i="5"/>
  <c r="E21" i="2"/>
  <c r="AK54" i="11"/>
  <c r="H53" i="11"/>
  <c r="C53" i="11"/>
  <c r="B62" i="6"/>
  <c r="AU53" i="11"/>
  <c r="AK52" i="11"/>
  <c r="B60" i="6"/>
  <c r="C51" i="11"/>
  <c r="AU51" i="11"/>
  <c r="H51" i="11"/>
  <c r="D11" i="13"/>
  <c r="D110" i="10"/>
  <c r="BM27" i="29"/>
  <c r="BM28" i="29"/>
  <c r="BR27" i="29"/>
  <c r="BO27" i="29"/>
  <c r="BP27" i="29"/>
  <c r="BP28" i="29"/>
  <c r="BE28" i="29"/>
  <c r="BE29" i="29"/>
  <c r="BE31" i="29"/>
  <c r="BQ28" i="29"/>
  <c r="BE27" i="29"/>
  <c r="BR28" i="29"/>
  <c r="BE30" i="29"/>
  <c r="BN28" i="29"/>
  <c r="BO28" i="29"/>
  <c r="BL28" i="29"/>
  <c r="BL27" i="29"/>
  <c r="BQ27" i="29"/>
  <c r="BE32" i="29"/>
  <c r="C63" i="18" l="1"/>
  <c r="N83" i="20"/>
  <c r="S83" i="20" s="1"/>
  <c r="E12" i="13"/>
  <c r="E61" i="13" s="1"/>
  <c r="V53" i="6"/>
  <c r="V54" i="6" s="1"/>
  <c r="C58" i="18"/>
  <c r="C100" i="18"/>
  <c r="L83" i="11"/>
  <c r="L74" i="11"/>
  <c r="L82" i="11"/>
  <c r="R74" i="20"/>
  <c r="J74" i="11"/>
  <c r="N69" i="20"/>
  <c r="M83" i="20"/>
  <c r="L83" i="20"/>
  <c r="Q74" i="20"/>
  <c r="C142" i="13"/>
  <c r="D142" i="13" s="1"/>
  <c r="E142" i="13" s="1"/>
  <c r="F142" i="13" s="1"/>
  <c r="L94" i="20"/>
  <c r="Q94" i="20" s="1"/>
  <c r="N94" i="20"/>
  <c r="S94" i="20" s="1"/>
  <c r="O94" i="20"/>
  <c r="T94" i="20" s="1"/>
  <c r="M94" i="20"/>
  <c r="R94" i="20" s="1"/>
  <c r="L69" i="20"/>
  <c r="I69" i="11" s="1"/>
  <c r="M69" i="20"/>
  <c r="O69" i="20"/>
  <c r="M87" i="20"/>
  <c r="R87" i="20" s="1"/>
  <c r="O87" i="20"/>
  <c r="T87" i="20" s="1"/>
  <c r="N87" i="20"/>
  <c r="S87" i="20" s="1"/>
  <c r="L87" i="20"/>
  <c r="Q87" i="20" s="1"/>
  <c r="L81" i="20"/>
  <c r="N81" i="20"/>
  <c r="S81" i="20" s="1"/>
  <c r="O81" i="20"/>
  <c r="T81" i="20" s="1"/>
  <c r="M81" i="20"/>
  <c r="R81" i="20" s="1"/>
  <c r="C25" i="7"/>
  <c r="L86" i="20"/>
  <c r="Q86" i="20" s="1"/>
  <c r="M86" i="20"/>
  <c r="R86" i="20" s="1"/>
  <c r="N86" i="20"/>
  <c r="S86" i="20" s="1"/>
  <c r="O86" i="20"/>
  <c r="T86" i="20" s="1"/>
  <c r="L92" i="20"/>
  <c r="Q92" i="20" s="1"/>
  <c r="O92" i="20"/>
  <c r="T92" i="20" s="1"/>
  <c r="N92" i="20"/>
  <c r="S92" i="20" s="1"/>
  <c r="M92" i="20"/>
  <c r="R92" i="20" s="1"/>
  <c r="M84" i="20"/>
  <c r="L84" i="20"/>
  <c r="I84" i="11" s="1"/>
  <c r="N84" i="20"/>
  <c r="O84" i="20"/>
  <c r="O64" i="20"/>
  <c r="T64" i="20" s="1"/>
  <c r="L64" i="20"/>
  <c r="Q64" i="20" s="1"/>
  <c r="N64" i="20"/>
  <c r="S64" i="20" s="1"/>
  <c r="M64" i="20"/>
  <c r="R64" i="20" s="1"/>
  <c r="L90" i="20"/>
  <c r="Q90" i="20" s="1"/>
  <c r="M90" i="20"/>
  <c r="R90" i="20" s="1"/>
  <c r="N90" i="20"/>
  <c r="S90" i="20" s="1"/>
  <c r="O90" i="20"/>
  <c r="T90" i="20" s="1"/>
  <c r="C62" i="18"/>
  <c r="N80" i="20"/>
  <c r="S80" i="20" s="1"/>
  <c r="L80" i="20"/>
  <c r="O80" i="20"/>
  <c r="T80" i="20" s="1"/>
  <c r="M80" i="20"/>
  <c r="R80" i="20" s="1"/>
  <c r="F61" i="13"/>
  <c r="D8" i="18"/>
  <c r="E16" i="2"/>
  <c r="C19" i="2"/>
  <c r="C46" i="10" s="1"/>
  <c r="C48" i="10" s="1"/>
  <c r="C50" i="10" s="1"/>
  <c r="C10" i="2"/>
  <c r="C18" i="2" s="1"/>
  <c r="C11" i="18" s="1"/>
  <c r="E26" i="7"/>
  <c r="D60" i="13"/>
  <c r="D25" i="7"/>
  <c r="C56" i="18"/>
  <c r="F24" i="7"/>
  <c r="D37" i="21"/>
  <c r="E60" i="13"/>
  <c r="E25" i="7"/>
  <c r="D24" i="7"/>
  <c r="C20" i="2"/>
  <c r="C13" i="18" s="1"/>
  <c r="E20" i="2"/>
  <c r="E13" i="18" s="1"/>
  <c r="D20" i="2"/>
  <c r="D13" i="18" s="1"/>
  <c r="F20" i="2"/>
  <c r="F13" i="18" s="1"/>
  <c r="C61" i="13"/>
  <c r="C26" i="7"/>
  <c r="O65" i="20"/>
  <c r="T65" i="20" s="1"/>
  <c r="M65" i="20"/>
  <c r="R65" i="20" s="1"/>
  <c r="N65" i="20"/>
  <c r="S65" i="20" s="1"/>
  <c r="L65" i="20"/>
  <c r="C64" i="18"/>
  <c r="C65" i="18"/>
  <c r="C66" i="18" s="1"/>
  <c r="C109" i="18"/>
  <c r="C108" i="18"/>
  <c r="C57" i="18"/>
  <c r="C59" i="18"/>
  <c r="C61" i="18"/>
  <c r="C60" i="18"/>
  <c r="F21" i="2"/>
  <c r="O4" i="5"/>
  <c r="BF30" i="29"/>
  <c r="F36" i="21"/>
  <c r="F34" i="21"/>
  <c r="D40" i="21"/>
  <c r="D32" i="21"/>
  <c r="F33" i="21"/>
  <c r="C35" i="21"/>
  <c r="F32" i="21"/>
  <c r="C38" i="21"/>
  <c r="E37" i="21"/>
  <c r="N85" i="20"/>
  <c r="S85" i="20" s="1"/>
  <c r="L85" i="20"/>
  <c r="I85" i="11" s="1"/>
  <c r="M85" i="20"/>
  <c r="O85" i="20"/>
  <c r="T85" i="20" s="1"/>
  <c r="E14" i="18"/>
  <c r="E48" i="18" s="1"/>
  <c r="E50" i="18" s="1"/>
  <c r="AL12" i="11"/>
  <c r="E34" i="21"/>
  <c r="D31" i="21"/>
  <c r="D33" i="21"/>
  <c r="D38" i="21"/>
  <c r="E33" i="21"/>
  <c r="D34" i="21"/>
  <c r="F38" i="21"/>
  <c r="C37" i="21"/>
  <c r="F39" i="21"/>
  <c r="D39" i="21"/>
  <c r="F22" i="2"/>
  <c r="F15" i="18" s="1"/>
  <c r="D22" i="2"/>
  <c r="D15" i="18" s="1"/>
  <c r="C22" i="2"/>
  <c r="C15" i="18" s="1"/>
  <c r="E22" i="2"/>
  <c r="E15" i="18" s="1"/>
  <c r="C12" i="18"/>
  <c r="O89" i="20"/>
  <c r="T89" i="20" s="1"/>
  <c r="M89" i="20"/>
  <c r="R89" i="20" s="1"/>
  <c r="L89" i="20"/>
  <c r="Q89" i="20" s="1"/>
  <c r="N89" i="20"/>
  <c r="S89" i="20" s="1"/>
  <c r="D81" i="7"/>
  <c r="D72" i="7"/>
  <c r="D90" i="7" s="1"/>
  <c r="F37" i="21"/>
  <c r="E32" i="21"/>
  <c r="C31" i="21"/>
  <c r="C32" i="21"/>
  <c r="C34" i="21"/>
  <c r="D35" i="21"/>
  <c r="C33" i="21"/>
  <c r="E36" i="21"/>
  <c r="O59" i="20"/>
  <c r="N59" i="20"/>
  <c r="M59" i="20"/>
  <c r="L59" i="20"/>
  <c r="I59" i="11" s="1"/>
  <c r="C84" i="18"/>
  <c r="C80" i="18"/>
  <c r="C83" i="18"/>
  <c r="C91" i="18"/>
  <c r="C85" i="18"/>
  <c r="C87" i="18"/>
  <c r="C88" i="18"/>
  <c r="C86" i="18"/>
  <c r="C81" i="18"/>
  <c r="C75" i="18"/>
  <c r="C93" i="18"/>
  <c r="C76" i="18"/>
  <c r="C92" i="18"/>
  <c r="C77" i="18" s="1"/>
  <c r="C89" i="18"/>
  <c r="C82" i="18"/>
  <c r="M82" i="20"/>
  <c r="N82" i="20"/>
  <c r="S82" i="20" s="1"/>
  <c r="O82" i="20"/>
  <c r="T82" i="20" s="1"/>
  <c r="L82" i="20"/>
  <c r="I82" i="11" s="1"/>
  <c r="F17" i="2"/>
  <c r="F9" i="18" s="1"/>
  <c r="E9" i="18"/>
  <c r="D36" i="21"/>
  <c r="E31" i="21"/>
  <c r="F35" i="21"/>
  <c r="F40" i="21"/>
  <c r="F31" i="21"/>
  <c r="E35" i="21"/>
  <c r="C36" i="21"/>
  <c r="E38" i="21"/>
  <c r="F7" i="21"/>
  <c r="C11" i="21"/>
  <c r="F11" i="21"/>
  <c r="D6" i="21"/>
  <c r="D10" i="21"/>
  <c r="F9" i="21"/>
  <c r="E5" i="21"/>
  <c r="D9" i="21"/>
  <c r="C5" i="21"/>
  <c r="E11" i="21"/>
  <c r="C9" i="21"/>
  <c r="F10" i="21"/>
  <c r="C12" i="21"/>
  <c r="F12" i="21"/>
  <c r="E8" i="21"/>
  <c r="C10" i="21"/>
  <c r="C8" i="21"/>
  <c r="F8" i="21"/>
  <c r="E9" i="21"/>
  <c r="D11" i="21"/>
  <c r="D8" i="21"/>
  <c r="E12" i="21"/>
  <c r="D5" i="21"/>
  <c r="E6" i="21"/>
  <c r="C6" i="21"/>
  <c r="E10" i="21"/>
  <c r="F6" i="21"/>
  <c r="D12" i="21"/>
  <c r="D7" i="21"/>
  <c r="F5" i="21"/>
  <c r="E7" i="21"/>
  <c r="C7" i="21"/>
  <c r="E12" i="2"/>
  <c r="D13" i="2"/>
  <c r="D23" i="2"/>
  <c r="D69" i="18"/>
  <c r="D67" i="18"/>
  <c r="D65" i="18"/>
  <c r="D61" i="18"/>
  <c r="D68" i="18"/>
  <c r="D53" i="18" s="1"/>
  <c r="D64" i="18"/>
  <c r="D59" i="18"/>
  <c r="D52" i="18"/>
  <c r="D62" i="18"/>
  <c r="D60" i="18"/>
  <c r="D51" i="18"/>
  <c r="D63" i="18"/>
  <c r="D56" i="18"/>
  <c r="D58" i="18"/>
  <c r="D57" i="18"/>
  <c r="BM29" i="29"/>
  <c r="BR29" i="29"/>
  <c r="BN29" i="29"/>
  <c r="BO29" i="29"/>
  <c r="BP29" i="29"/>
  <c r="BQ29" i="29"/>
  <c r="BL29" i="29"/>
  <c r="C78" i="18" l="1"/>
  <c r="D54" i="18"/>
  <c r="C53" i="10"/>
  <c r="C54" i="10" s="1"/>
  <c r="D51" i="10" s="1"/>
  <c r="C89" i="10"/>
  <c r="C52" i="10"/>
  <c r="C100" i="10" s="1"/>
  <c r="C54" i="18"/>
  <c r="T84" i="20"/>
  <c r="L84" i="11"/>
  <c r="S84" i="20"/>
  <c r="S69" i="20"/>
  <c r="T69" i="20"/>
  <c r="L69" i="11"/>
  <c r="L85" i="11"/>
  <c r="R69" i="20"/>
  <c r="J69" i="11"/>
  <c r="R84" i="20"/>
  <c r="J84" i="11"/>
  <c r="Q83" i="20"/>
  <c r="I83" i="11"/>
  <c r="R82" i="20"/>
  <c r="J82" i="11"/>
  <c r="R83" i="20"/>
  <c r="J83" i="11"/>
  <c r="R85" i="20"/>
  <c r="J85" i="11"/>
  <c r="Q85" i="20"/>
  <c r="C153" i="13"/>
  <c r="D153" i="13" s="1"/>
  <c r="E153" i="13" s="1"/>
  <c r="F153" i="13" s="1"/>
  <c r="C151" i="13"/>
  <c r="D151" i="13" s="1"/>
  <c r="E151" i="13" s="1"/>
  <c r="F151" i="13" s="1"/>
  <c r="Q84" i="20"/>
  <c r="C152" i="13"/>
  <c r="D152" i="13" s="1"/>
  <c r="E152" i="13" s="1"/>
  <c r="F152" i="13" s="1"/>
  <c r="Q82" i="20"/>
  <c r="C150" i="13"/>
  <c r="D150" i="13" s="1"/>
  <c r="E150" i="13" s="1"/>
  <c r="F150" i="13" s="1"/>
  <c r="Q81" i="20"/>
  <c r="C149" i="13"/>
  <c r="D149" i="13" s="1"/>
  <c r="E149" i="13" s="1"/>
  <c r="F149" i="13" s="1"/>
  <c r="Q69" i="20"/>
  <c r="C137" i="13"/>
  <c r="D137" i="13" s="1"/>
  <c r="E137" i="13" s="1"/>
  <c r="F137" i="13" s="1"/>
  <c r="Q80" i="20"/>
  <c r="C148" i="13"/>
  <c r="D148" i="13" s="1"/>
  <c r="E148" i="13" s="1"/>
  <c r="F148" i="13" s="1"/>
  <c r="T59" i="20"/>
  <c r="L59" i="11"/>
  <c r="R59" i="20"/>
  <c r="J59" i="11"/>
  <c r="S59" i="20"/>
  <c r="Q59" i="20"/>
  <c r="C59" i="10"/>
  <c r="C72" i="10"/>
  <c r="C7" i="10"/>
  <c r="C9" i="10" s="1"/>
  <c r="C11" i="10" s="1"/>
  <c r="C14" i="10" s="1"/>
  <c r="C15" i="10" s="1"/>
  <c r="D12" i="10" s="1"/>
  <c r="C33" i="10"/>
  <c r="C35" i="10" s="1"/>
  <c r="C37" i="10" s="1"/>
  <c r="C40" i="10" s="1"/>
  <c r="C41" i="10" s="1"/>
  <c r="D38" i="10" s="1"/>
  <c r="F16" i="2"/>
  <c r="F8" i="18" s="1"/>
  <c r="E8" i="18"/>
  <c r="C20" i="10"/>
  <c r="C22" i="10" s="1"/>
  <c r="C24" i="10" s="1"/>
  <c r="C26" i="10" s="1"/>
  <c r="C98" i="10" s="1"/>
  <c r="Q65" i="20"/>
  <c r="F41" i="21"/>
  <c r="C55" i="18"/>
  <c r="D55" i="18"/>
  <c r="C79" i="18"/>
  <c r="C90" i="18"/>
  <c r="D16" i="18"/>
  <c r="D72" i="18" s="1"/>
  <c r="D74" i="18" s="1"/>
  <c r="D19" i="2"/>
  <c r="D18" i="2" s="1"/>
  <c r="D11" i="18" s="1"/>
  <c r="F14" i="18"/>
  <c r="F48" i="18" s="1"/>
  <c r="F50" i="18" s="1"/>
  <c r="D66" i="18"/>
  <c r="C45" i="18"/>
  <c r="C37" i="18"/>
  <c r="C43" i="18"/>
  <c r="C44" i="18"/>
  <c r="C29" i="18" s="1"/>
  <c r="C33" i="18"/>
  <c r="C22" i="18"/>
  <c r="C26" i="18" s="1"/>
  <c r="C40" i="18"/>
  <c r="C32" i="18"/>
  <c r="C36" i="18"/>
  <c r="C34" i="18"/>
  <c r="C30" i="18"/>
  <c r="C38" i="18"/>
  <c r="C39" i="18"/>
  <c r="C35" i="18"/>
  <c r="C41" i="18"/>
  <c r="C31" i="18"/>
  <c r="E23" i="2"/>
  <c r="F12" i="2"/>
  <c r="E13" i="2"/>
  <c r="D41" i="21"/>
  <c r="AL13" i="11"/>
  <c r="E65" i="18"/>
  <c r="E60" i="18"/>
  <c r="E67" i="18"/>
  <c r="E69" i="18"/>
  <c r="E61" i="18"/>
  <c r="E68" i="18"/>
  <c r="E53" i="18" s="1"/>
  <c r="E63" i="18"/>
  <c r="E62" i="18"/>
  <c r="E54" i="18"/>
  <c r="E51" i="18"/>
  <c r="E57" i="18"/>
  <c r="E56" i="18"/>
  <c r="E52" i="18"/>
  <c r="E58" i="18"/>
  <c r="E64" i="18"/>
  <c r="E59" i="18"/>
  <c r="E55" i="18"/>
  <c r="BF31" i="29"/>
  <c r="P4" i="5"/>
  <c r="BP30" i="29"/>
  <c r="BM30" i="29"/>
  <c r="BN30" i="29"/>
  <c r="BO30" i="29"/>
  <c r="BR30" i="29"/>
  <c r="BQ30" i="29"/>
  <c r="BL30" i="29"/>
  <c r="C10" i="13" l="1"/>
  <c r="C59" i="13" s="1"/>
  <c r="C109" i="10"/>
  <c r="F18" i="5"/>
  <c r="L18" i="20"/>
  <c r="F75" i="5"/>
  <c r="L75" i="20"/>
  <c r="F37" i="5"/>
  <c r="L37" i="20"/>
  <c r="F45" i="5"/>
  <c r="F66" i="5"/>
  <c r="L45" i="20"/>
  <c r="L66" i="20"/>
  <c r="F36" i="5"/>
  <c r="L36" i="20"/>
  <c r="L6" i="20"/>
  <c r="F17" i="5"/>
  <c r="L17" i="20"/>
  <c r="F29" i="5"/>
  <c r="L29" i="20"/>
  <c r="F79" i="5"/>
  <c r="F76" i="5"/>
  <c r="F77" i="5"/>
  <c r="F78" i="5"/>
  <c r="L78" i="20"/>
  <c r="L79" i="20"/>
  <c r="L76" i="20"/>
  <c r="L77" i="20"/>
  <c r="F40" i="5"/>
  <c r="L40" i="20"/>
  <c r="I40" i="11" s="1"/>
  <c r="C39" i="10"/>
  <c r="C99" i="10" s="1"/>
  <c r="F70" i="5"/>
  <c r="L70" i="20"/>
  <c r="C88" i="10"/>
  <c r="C108" i="10" s="1"/>
  <c r="C87" i="10"/>
  <c r="C8" i="13" s="1"/>
  <c r="C27" i="10"/>
  <c r="C28" i="10" s="1"/>
  <c r="D25" i="10" s="1"/>
  <c r="C13" i="10"/>
  <c r="C97" i="10" s="1"/>
  <c r="C103" i="10" s="1"/>
  <c r="C86" i="10"/>
  <c r="C106" i="10" s="1"/>
  <c r="F68" i="5"/>
  <c r="L68" i="20"/>
  <c r="F24" i="5"/>
  <c r="F26" i="5"/>
  <c r="L26" i="20"/>
  <c r="F63" i="5"/>
  <c r="F25" i="5"/>
  <c r="F27" i="5"/>
  <c r="L63" i="20"/>
  <c r="L24" i="20"/>
  <c r="L25" i="20"/>
  <c r="L27" i="20"/>
  <c r="F67" i="5"/>
  <c r="L67" i="20"/>
  <c r="F38" i="5"/>
  <c r="L38" i="20"/>
  <c r="I38" i="11" s="1"/>
  <c r="F39" i="5"/>
  <c r="L39" i="20"/>
  <c r="I39" i="11" s="1"/>
  <c r="F22" i="5"/>
  <c r="F20" i="5"/>
  <c r="F19" i="5"/>
  <c r="F28" i="5"/>
  <c r="F23" i="5"/>
  <c r="L53" i="20"/>
  <c r="F54" i="5"/>
  <c r="F21" i="5"/>
  <c r="L21" i="20"/>
  <c r="L22" i="20"/>
  <c r="L20" i="20"/>
  <c r="F53" i="5"/>
  <c r="L19" i="20"/>
  <c r="L54" i="20"/>
  <c r="L23" i="20"/>
  <c r="L28" i="20"/>
  <c r="F8" i="5"/>
  <c r="F12" i="5"/>
  <c r="F6" i="5"/>
  <c r="F10" i="5"/>
  <c r="L7" i="20"/>
  <c r="F15" i="5"/>
  <c r="L10" i="20"/>
  <c r="F9" i="5"/>
  <c r="F7" i="5"/>
  <c r="L8" i="20"/>
  <c r="L12" i="20"/>
  <c r="L9" i="20"/>
  <c r="F16" i="5"/>
  <c r="F13" i="5"/>
  <c r="F11" i="5"/>
  <c r="L16" i="20"/>
  <c r="F14" i="5"/>
  <c r="L14" i="20"/>
  <c r="L11" i="20"/>
  <c r="L15" i="20"/>
  <c r="L13" i="20"/>
  <c r="F32" i="5"/>
  <c r="F30" i="5"/>
  <c r="L35" i="20"/>
  <c r="L30" i="20"/>
  <c r="I30" i="11" s="1"/>
  <c r="F33" i="5"/>
  <c r="L33" i="20"/>
  <c r="F35" i="5"/>
  <c r="L31" i="20"/>
  <c r="L32" i="20"/>
  <c r="F31" i="5"/>
  <c r="F34" i="5"/>
  <c r="L34" i="20"/>
  <c r="C42" i="18"/>
  <c r="E66" i="18"/>
  <c r="E16" i="18"/>
  <c r="E72" i="18" s="1"/>
  <c r="E74" i="18" s="1"/>
  <c r="E19" i="2"/>
  <c r="E18" i="2" s="1"/>
  <c r="E11" i="18" s="1"/>
  <c r="BF32" i="29"/>
  <c r="D20" i="10"/>
  <c r="D22" i="10" s="1"/>
  <c r="D24" i="10" s="1"/>
  <c r="D12" i="18"/>
  <c r="D33" i="10"/>
  <c r="D35" i="10" s="1"/>
  <c r="D37" i="10" s="1"/>
  <c r="D72" i="10"/>
  <c r="D46" i="10"/>
  <c r="D48" i="10" s="1"/>
  <c r="D50" i="10" s="1"/>
  <c r="D52" i="10" s="1"/>
  <c r="D100" i="10" s="1"/>
  <c r="D59" i="10"/>
  <c r="D7" i="10"/>
  <c r="D9" i="10" s="1"/>
  <c r="D11" i="10" s="1"/>
  <c r="D13" i="10" s="1"/>
  <c r="D97" i="10" s="1"/>
  <c r="Q4" i="5"/>
  <c r="C27" i="18"/>
  <c r="C28" i="18"/>
  <c r="C24" i="18"/>
  <c r="F72" i="5" s="1"/>
  <c r="D93" i="18"/>
  <c r="D84" i="18"/>
  <c r="D81" i="18"/>
  <c r="D80" i="18"/>
  <c r="D75" i="18"/>
  <c r="D87" i="18"/>
  <c r="D86" i="18"/>
  <c r="D82" i="18"/>
  <c r="D78" i="18"/>
  <c r="D92" i="18"/>
  <c r="D77" i="18" s="1"/>
  <c r="D76" i="18"/>
  <c r="D89" i="18"/>
  <c r="D88" i="18"/>
  <c r="D83" i="18"/>
  <c r="D91" i="18"/>
  <c r="D85" i="18"/>
  <c r="D79" i="18"/>
  <c r="AL14" i="11"/>
  <c r="F23" i="2"/>
  <c r="F13" i="2"/>
  <c r="F54" i="18"/>
  <c r="F67" i="18"/>
  <c r="F60" i="18"/>
  <c r="F59" i="18"/>
  <c r="F52" i="18"/>
  <c r="F58" i="18"/>
  <c r="F62" i="18"/>
  <c r="F56" i="18"/>
  <c r="F69" i="18"/>
  <c r="F51" i="18"/>
  <c r="F65" i="18"/>
  <c r="F63" i="18"/>
  <c r="F57" i="18"/>
  <c r="F64" i="18"/>
  <c r="F68" i="18"/>
  <c r="F53" i="18" s="1"/>
  <c r="F61" i="18"/>
  <c r="F55" i="18"/>
  <c r="BN31" i="29"/>
  <c r="BL31" i="29"/>
  <c r="BQ31" i="29"/>
  <c r="BP31" i="29"/>
  <c r="BM31" i="29"/>
  <c r="BR31" i="29"/>
  <c r="BO31" i="29"/>
  <c r="F48" i="5" l="1"/>
  <c r="L48" i="20"/>
  <c r="L58" i="20"/>
  <c r="F49" i="5"/>
  <c r="D89" i="10"/>
  <c r="D53" i="10"/>
  <c r="D54" i="10" s="1"/>
  <c r="E51" i="10" s="1"/>
  <c r="L49" i="20"/>
  <c r="F58" i="5"/>
  <c r="Q75" i="20"/>
  <c r="I75" i="11"/>
  <c r="I18" i="11"/>
  <c r="Q18" i="20"/>
  <c r="C14" i="21"/>
  <c r="C13" i="21"/>
  <c r="L72" i="20"/>
  <c r="I72" i="11" s="1"/>
  <c r="C94" i="10"/>
  <c r="C15" i="13" s="1"/>
  <c r="F73" i="5"/>
  <c r="F56" i="5"/>
  <c r="F51" i="5"/>
  <c r="L73" i="20"/>
  <c r="L56" i="20"/>
  <c r="I56" i="11" s="1"/>
  <c r="L51" i="20"/>
  <c r="C119" i="13" s="1"/>
  <c r="L52" i="20"/>
  <c r="I52" i="11" s="1"/>
  <c r="F61" i="5"/>
  <c r="F60" i="5"/>
  <c r="I78" i="11"/>
  <c r="Q78" i="20"/>
  <c r="I36" i="11"/>
  <c r="Q36" i="20"/>
  <c r="L61" i="20"/>
  <c r="Q61" i="20" s="1"/>
  <c r="F55" i="5"/>
  <c r="L60" i="20"/>
  <c r="Q60" i="20" s="1"/>
  <c r="L62" i="20"/>
  <c r="Q62" i="20" s="1"/>
  <c r="I77" i="11"/>
  <c r="Q77" i="20"/>
  <c r="Q17" i="20"/>
  <c r="I17" i="11"/>
  <c r="L57" i="20"/>
  <c r="Q57" i="20" s="1"/>
  <c r="L55" i="20"/>
  <c r="I55" i="11" s="1"/>
  <c r="F62" i="5"/>
  <c r="I76" i="11"/>
  <c r="Q76" i="20"/>
  <c r="Q66" i="20"/>
  <c r="I66" i="11"/>
  <c r="I37" i="11"/>
  <c r="Q37" i="20"/>
  <c r="L44" i="20"/>
  <c r="Q44" i="20" s="1"/>
  <c r="F44" i="5"/>
  <c r="F57" i="5"/>
  <c r="F52" i="5"/>
  <c r="C108" i="13"/>
  <c r="Q40" i="20"/>
  <c r="Q79" i="20"/>
  <c r="I79" i="11"/>
  <c r="I29" i="11"/>
  <c r="Q29" i="20"/>
  <c r="I45" i="11"/>
  <c r="Q45" i="20"/>
  <c r="C113" i="13"/>
  <c r="C147" i="13"/>
  <c r="C146" i="13"/>
  <c r="C105" i="13"/>
  <c r="Q70" i="20"/>
  <c r="I70" i="11"/>
  <c r="F71" i="5"/>
  <c r="L71" i="20"/>
  <c r="Q71" i="20" s="1"/>
  <c r="L43" i="20"/>
  <c r="Q43" i="20" s="1"/>
  <c r="F43" i="5"/>
  <c r="C9" i="13"/>
  <c r="C131" i="13" s="1"/>
  <c r="C93" i="10"/>
  <c r="C14" i="13" s="1"/>
  <c r="C107" i="10"/>
  <c r="C112" i="10" s="1"/>
  <c r="C7" i="13"/>
  <c r="C86" i="13" s="1"/>
  <c r="C92" i="10"/>
  <c r="C13" i="13" s="1"/>
  <c r="I68" i="11"/>
  <c r="Q68" i="20"/>
  <c r="I34" i="11"/>
  <c r="Q34" i="20"/>
  <c r="I32" i="11"/>
  <c r="Q32" i="20"/>
  <c r="I14" i="11"/>
  <c r="Q14" i="20"/>
  <c r="Q8" i="20"/>
  <c r="I8" i="11"/>
  <c r="I23" i="11"/>
  <c r="Q23" i="20"/>
  <c r="Q39" i="20"/>
  <c r="C107" i="13"/>
  <c r="I67" i="11"/>
  <c r="Q67" i="20"/>
  <c r="C135" i="13"/>
  <c r="I27" i="11"/>
  <c r="Q27" i="20"/>
  <c r="I63" i="11"/>
  <c r="Q63" i="20"/>
  <c r="Q31" i="20"/>
  <c r="I31" i="11"/>
  <c r="Q30" i="20"/>
  <c r="I13" i="11"/>
  <c r="Q13" i="20"/>
  <c r="C81" i="13"/>
  <c r="Q7" i="20"/>
  <c r="I7" i="11"/>
  <c r="C75" i="13"/>
  <c r="Q20" i="20"/>
  <c r="I20" i="11"/>
  <c r="C133" i="13"/>
  <c r="D133" i="13" s="1"/>
  <c r="E133" i="13" s="1"/>
  <c r="F133" i="13" s="1"/>
  <c r="C57" i="13"/>
  <c r="I25" i="11"/>
  <c r="Q25" i="20"/>
  <c r="I26" i="11"/>
  <c r="Q26" i="20"/>
  <c r="D27" i="10"/>
  <c r="D28" i="10" s="1"/>
  <c r="E25" i="10" s="1"/>
  <c r="D87" i="10"/>
  <c r="D26" i="10"/>
  <c r="D98" i="10" s="1"/>
  <c r="Q35" i="20"/>
  <c r="C103" i="13"/>
  <c r="I35" i="11"/>
  <c r="I15" i="11"/>
  <c r="Q15" i="20"/>
  <c r="C83" i="13"/>
  <c r="I16" i="11"/>
  <c r="Q16" i="20"/>
  <c r="I9" i="11"/>
  <c r="Q9" i="20"/>
  <c r="I6" i="11"/>
  <c r="Q6" i="20"/>
  <c r="Q54" i="20"/>
  <c r="I22" i="11"/>
  <c r="Q22" i="20"/>
  <c r="Q53" i="20"/>
  <c r="I53" i="11"/>
  <c r="C106" i="13"/>
  <c r="Q38" i="20"/>
  <c r="I61" i="11"/>
  <c r="I48" i="11"/>
  <c r="Q48" i="20"/>
  <c r="F50" i="5"/>
  <c r="F46" i="5"/>
  <c r="L47" i="20"/>
  <c r="L41" i="20"/>
  <c r="F47" i="5"/>
  <c r="L46" i="20"/>
  <c r="F41" i="5"/>
  <c r="L50" i="20"/>
  <c r="F42" i="5"/>
  <c r="L42" i="20"/>
  <c r="D14" i="10"/>
  <c r="D15" i="10" s="1"/>
  <c r="E12" i="10" s="1"/>
  <c r="D86" i="10"/>
  <c r="D88" i="10"/>
  <c r="D40" i="10"/>
  <c r="D41" i="10" s="1"/>
  <c r="E38" i="10" s="1"/>
  <c r="D39" i="10"/>
  <c r="D99" i="10" s="1"/>
  <c r="I49" i="11"/>
  <c r="Q49" i="20"/>
  <c r="C117" i="13"/>
  <c r="I58" i="11"/>
  <c r="Q58" i="20"/>
  <c r="Q33" i="20"/>
  <c r="I33" i="11"/>
  <c r="Q11" i="20"/>
  <c r="C79" i="13"/>
  <c r="I11" i="11"/>
  <c r="Q12" i="20"/>
  <c r="I12" i="11"/>
  <c r="Q10" i="20"/>
  <c r="I10" i="11"/>
  <c r="I28" i="11"/>
  <c r="Q28" i="20"/>
  <c r="I19" i="11"/>
  <c r="Q19" i="20"/>
  <c r="I21" i="11"/>
  <c r="Q21" i="20"/>
  <c r="I24" i="11"/>
  <c r="Q24" i="20"/>
  <c r="I60" i="11"/>
  <c r="F66" i="18"/>
  <c r="D90" i="18"/>
  <c r="F16" i="18"/>
  <c r="F72" i="18" s="1"/>
  <c r="F74" i="18" s="1"/>
  <c r="F19" i="2"/>
  <c r="F18" i="2" s="1"/>
  <c r="F11" i="18" s="1"/>
  <c r="R4" i="5"/>
  <c r="Q55" i="5" s="1"/>
  <c r="Q91" i="5"/>
  <c r="E12" i="18"/>
  <c r="E33" i="10"/>
  <c r="E35" i="10" s="1"/>
  <c r="E37" i="10" s="1"/>
  <c r="E59" i="10"/>
  <c r="E72" i="10"/>
  <c r="E46" i="10"/>
  <c r="E48" i="10" s="1"/>
  <c r="E50" i="10" s="1"/>
  <c r="E20" i="10"/>
  <c r="E22" i="10" s="1"/>
  <c r="E24" i="10" s="1"/>
  <c r="E7" i="10"/>
  <c r="E9" i="10" s="1"/>
  <c r="E11" i="10" s="1"/>
  <c r="AL15" i="11"/>
  <c r="E84" i="18"/>
  <c r="E87" i="18"/>
  <c r="E83" i="18"/>
  <c r="E89" i="18"/>
  <c r="E92" i="18"/>
  <c r="E77" i="18" s="1"/>
  <c r="E75" i="18"/>
  <c r="E88" i="18"/>
  <c r="E91" i="18"/>
  <c r="E76" i="18"/>
  <c r="E93" i="18"/>
  <c r="E78" i="18"/>
  <c r="E85" i="18"/>
  <c r="E86" i="18"/>
  <c r="E82" i="18"/>
  <c r="E80" i="18"/>
  <c r="E81" i="18"/>
  <c r="E79" i="18"/>
  <c r="D40" i="18"/>
  <c r="D37" i="18"/>
  <c r="D41" i="18"/>
  <c r="M18" i="20" s="1"/>
  <c r="D35" i="18"/>
  <c r="D22" i="18"/>
  <c r="D26" i="18" s="1"/>
  <c r="D39" i="18"/>
  <c r="D44" i="18"/>
  <c r="D29" i="18" s="1"/>
  <c r="D33" i="18"/>
  <c r="D30" i="18"/>
  <c r="D34" i="18"/>
  <c r="D43" i="18"/>
  <c r="M29" i="20" s="1"/>
  <c r="D32" i="18"/>
  <c r="D38" i="18"/>
  <c r="M68" i="20" s="1"/>
  <c r="D45" i="18"/>
  <c r="M75" i="20" s="1"/>
  <c r="D36" i="18"/>
  <c r="D31" i="18"/>
  <c r="BO32" i="29"/>
  <c r="BQ32" i="29"/>
  <c r="BN32" i="29"/>
  <c r="AM12" i="11"/>
  <c r="BP32" i="29"/>
  <c r="BM32" i="29"/>
  <c r="AM8" i="11"/>
  <c r="BR32" i="29"/>
  <c r="BL32" i="29"/>
  <c r="AM14" i="11"/>
  <c r="C85" i="13" l="1"/>
  <c r="C100" i="13"/>
  <c r="Q19" i="5"/>
  <c r="I57" i="11"/>
  <c r="D10" i="13"/>
  <c r="D59" i="13" s="1"/>
  <c r="D109" i="10"/>
  <c r="E52" i="10"/>
  <c r="E100" i="10" s="1"/>
  <c r="Q21" i="5"/>
  <c r="Q102" i="5"/>
  <c r="Q53" i="5"/>
  <c r="E53" i="10"/>
  <c r="E54" i="10" s="1"/>
  <c r="F51" i="10" s="1"/>
  <c r="E89" i="10"/>
  <c r="Q14" i="5"/>
  <c r="Q32" i="5"/>
  <c r="Q98" i="5"/>
  <c r="Q27" i="5"/>
  <c r="Q39" i="5"/>
  <c r="Q50" i="5"/>
  <c r="C77" i="13"/>
  <c r="C104" i="13"/>
  <c r="C102" i="13"/>
  <c r="C143" i="13"/>
  <c r="C101" i="13"/>
  <c r="C99" i="13"/>
  <c r="R18" i="20"/>
  <c r="J18" i="11"/>
  <c r="R75" i="20"/>
  <c r="J75" i="11"/>
  <c r="M38" i="20"/>
  <c r="R38" i="20" s="1"/>
  <c r="C126" i="13"/>
  <c r="C39" i="21"/>
  <c r="C40" i="21"/>
  <c r="Q72" i="20"/>
  <c r="Q52" i="20"/>
  <c r="Q28" i="5"/>
  <c r="Q43" i="5"/>
  <c r="Q9" i="5"/>
  <c r="Q95" i="5"/>
  <c r="Q68" i="5"/>
  <c r="Q80" i="5"/>
  <c r="Q75" i="5"/>
  <c r="Q81" i="5"/>
  <c r="Q45" i="5"/>
  <c r="Q67" i="5"/>
  <c r="Q83" i="5"/>
  <c r="Q17" i="5"/>
  <c r="Q13" i="5"/>
  <c r="Q11" i="5"/>
  <c r="Q23" i="5"/>
  <c r="Q38" i="5"/>
  <c r="Q86" i="5"/>
  <c r="Q54" i="5"/>
  <c r="Q51" i="5"/>
  <c r="Q71" i="5"/>
  <c r="Q105" i="5"/>
  <c r="Q96" i="5"/>
  <c r="Q56" i="5"/>
  <c r="M37" i="20"/>
  <c r="R37" i="20" s="1"/>
  <c r="Q15" i="5"/>
  <c r="Q18" i="5"/>
  <c r="Q30" i="5"/>
  <c r="Q24" i="5"/>
  <c r="Q59" i="5"/>
  <c r="Q46" i="5"/>
  <c r="Q61" i="5"/>
  <c r="Q34" i="5"/>
  <c r="Q90" i="5"/>
  <c r="Q33" i="5"/>
  <c r="Q103" i="5"/>
  <c r="C120" i="13"/>
  <c r="C130" i="13"/>
  <c r="I62" i="11"/>
  <c r="I44" i="11"/>
  <c r="Q55" i="20"/>
  <c r="C19" i="13"/>
  <c r="M45" i="20"/>
  <c r="M66" i="20"/>
  <c r="C136" i="13"/>
  <c r="I73" i="11"/>
  <c r="Q73" i="20"/>
  <c r="M79" i="20"/>
  <c r="M76" i="20"/>
  <c r="M77" i="20"/>
  <c r="M78" i="20"/>
  <c r="M34" i="20"/>
  <c r="R34" i="20" s="1"/>
  <c r="M36" i="20"/>
  <c r="M70" i="20"/>
  <c r="J70" i="11" s="1"/>
  <c r="R29" i="20"/>
  <c r="J29" i="11"/>
  <c r="M39" i="20"/>
  <c r="M40" i="20"/>
  <c r="M6" i="20"/>
  <c r="J6" i="11" s="1"/>
  <c r="M17" i="20"/>
  <c r="I51" i="11"/>
  <c r="Q51" i="20"/>
  <c r="Q56" i="20"/>
  <c r="C124" i="13"/>
  <c r="C125" i="13"/>
  <c r="C97" i="13"/>
  <c r="C145" i="13"/>
  <c r="C144" i="13"/>
  <c r="C98" i="13"/>
  <c r="C58" i="13"/>
  <c r="C141" i="13"/>
  <c r="C127" i="13"/>
  <c r="C140" i="13"/>
  <c r="R68" i="20"/>
  <c r="J68" i="11"/>
  <c r="I43" i="11"/>
  <c r="Q8" i="5"/>
  <c r="Q31" i="5"/>
  <c r="Q6" i="5"/>
  <c r="Q64" i="5"/>
  <c r="Q58" i="5"/>
  <c r="Q85" i="5"/>
  <c r="Q40" i="5"/>
  <c r="Q65" i="5"/>
  <c r="Q74" i="5"/>
  <c r="Q22" i="5"/>
  <c r="Q26" i="5"/>
  <c r="Q25" i="5"/>
  <c r="Q44" i="5"/>
  <c r="Q66" i="5"/>
  <c r="Q99" i="5"/>
  <c r="Q62" i="5"/>
  <c r="Q49" i="5"/>
  <c r="Q72" i="5"/>
  <c r="Q79" i="5"/>
  <c r="Q73" i="5"/>
  <c r="Q48" i="5"/>
  <c r="Q70" i="5"/>
  <c r="Q94" i="5"/>
  <c r="Q10" i="5"/>
  <c r="Q12" i="5"/>
  <c r="Q20" i="5"/>
  <c r="Q16" i="5"/>
  <c r="Q35" i="5"/>
  <c r="Q7" i="5"/>
  <c r="Q29" i="5"/>
  <c r="Q104" i="5"/>
  <c r="Q69" i="5"/>
  <c r="Q60" i="5"/>
  <c r="Q47" i="5"/>
  <c r="Q77" i="5"/>
  <c r="Q63" i="5"/>
  <c r="Q100" i="5"/>
  <c r="Q57" i="5"/>
  <c r="Q42" i="5"/>
  <c r="Q88" i="5"/>
  <c r="Q37" i="5"/>
  <c r="Q93" i="5"/>
  <c r="Q89" i="5"/>
  <c r="Q52" i="5"/>
  <c r="Q97" i="5"/>
  <c r="Q41" i="5"/>
  <c r="C111" i="13"/>
  <c r="C134" i="13"/>
  <c r="C139" i="13"/>
  <c r="D139" i="13" s="1"/>
  <c r="E139" i="13" s="1"/>
  <c r="F139" i="13" s="1"/>
  <c r="C138" i="13"/>
  <c r="C90" i="13"/>
  <c r="C122" i="13"/>
  <c r="D122" i="13" s="1"/>
  <c r="E122" i="13" s="1"/>
  <c r="F122" i="13" s="1"/>
  <c r="C128" i="13"/>
  <c r="C95" i="13"/>
  <c r="C91" i="13"/>
  <c r="C87" i="13"/>
  <c r="C116" i="13"/>
  <c r="C93" i="13"/>
  <c r="C121" i="13"/>
  <c r="C74" i="13"/>
  <c r="C56" i="13"/>
  <c r="H56" i="13" s="1"/>
  <c r="C82" i="13"/>
  <c r="C92" i="13"/>
  <c r="C89" i="13"/>
  <c r="C112" i="13"/>
  <c r="C132" i="13"/>
  <c r="D132" i="13" s="1"/>
  <c r="E132" i="13" s="1"/>
  <c r="F132" i="13" s="1"/>
  <c r="C94" i="13"/>
  <c r="C123" i="13"/>
  <c r="C76" i="13"/>
  <c r="C96" i="13"/>
  <c r="C78" i="13"/>
  <c r="C80" i="13"/>
  <c r="C129" i="13"/>
  <c r="C84" i="13"/>
  <c r="C88" i="13"/>
  <c r="C51" i="13"/>
  <c r="C69" i="13" s="1"/>
  <c r="C50" i="13"/>
  <c r="C68" i="13" s="1"/>
  <c r="C52" i="13"/>
  <c r="C70" i="13" s="1"/>
  <c r="E13" i="10"/>
  <c r="E97" i="10" s="1"/>
  <c r="D103" i="10"/>
  <c r="C17" i="13"/>
  <c r="Q84" i="5"/>
  <c r="Q50" i="20"/>
  <c r="I50" i="11"/>
  <c r="C118" i="13"/>
  <c r="Q41" i="20"/>
  <c r="C109" i="13"/>
  <c r="I41" i="11"/>
  <c r="M67" i="20"/>
  <c r="E40" i="10"/>
  <c r="E41" i="10" s="1"/>
  <c r="F38" i="10" s="1"/>
  <c r="E88" i="10"/>
  <c r="E39" i="10"/>
  <c r="E99" i="10" s="1"/>
  <c r="Q47" i="20"/>
  <c r="C115" i="13"/>
  <c r="I47" i="11"/>
  <c r="D93" i="10"/>
  <c r="D14" i="13" s="1"/>
  <c r="D8" i="13"/>
  <c r="D107" i="10"/>
  <c r="M35" i="20"/>
  <c r="M30" i="20"/>
  <c r="M31" i="20"/>
  <c r="M33" i="20"/>
  <c r="M32" i="20"/>
  <c r="M22" i="20"/>
  <c r="M53" i="20"/>
  <c r="M20" i="20"/>
  <c r="M21" i="20"/>
  <c r="M19" i="20"/>
  <c r="M54" i="20"/>
  <c r="R54" i="20" s="1"/>
  <c r="M23" i="20"/>
  <c r="M28" i="20"/>
  <c r="D42" i="18"/>
  <c r="M8" i="20"/>
  <c r="M10" i="20"/>
  <c r="M7" i="20"/>
  <c r="M12" i="20"/>
  <c r="M9" i="20"/>
  <c r="M16" i="20"/>
  <c r="M13" i="20"/>
  <c r="M11" i="20"/>
  <c r="M15" i="20"/>
  <c r="M14" i="20"/>
  <c r="E90" i="18"/>
  <c r="D9" i="13"/>
  <c r="D108" i="10"/>
  <c r="I42" i="11"/>
  <c r="Q42" i="20"/>
  <c r="C110" i="13"/>
  <c r="Q46" i="20"/>
  <c r="I46" i="11"/>
  <c r="C114" i="13"/>
  <c r="L4" i="20"/>
  <c r="E26" i="10"/>
  <c r="E98" i="10" s="1"/>
  <c r="C18" i="13"/>
  <c r="E27" i="10"/>
  <c r="E28" i="10" s="1"/>
  <c r="F25" i="10" s="1"/>
  <c r="E87" i="10"/>
  <c r="M26" i="20"/>
  <c r="M27" i="20"/>
  <c r="M24" i="20"/>
  <c r="M63" i="20"/>
  <c r="M25" i="20"/>
  <c r="E14" i="10"/>
  <c r="E15" i="10" s="1"/>
  <c r="F12" i="10" s="1"/>
  <c r="E86" i="10"/>
  <c r="D92" i="10"/>
  <c r="D13" i="13" s="1"/>
  <c r="D94" i="10"/>
  <c r="D15" i="13" s="1"/>
  <c r="D7" i="13"/>
  <c r="D86" i="13" s="1"/>
  <c r="D106" i="10"/>
  <c r="Q82" i="5"/>
  <c r="Q92" i="5"/>
  <c r="Q78" i="5"/>
  <c r="Q36" i="5"/>
  <c r="L96" i="5"/>
  <c r="L84" i="5"/>
  <c r="L52" i="5"/>
  <c r="L32" i="5"/>
  <c r="L77" i="5"/>
  <c r="L75" i="5"/>
  <c r="L78" i="5"/>
  <c r="L86" i="5"/>
  <c r="L54" i="5"/>
  <c r="L95" i="5"/>
  <c r="L47" i="5"/>
  <c r="L74" i="5"/>
  <c r="L58" i="5"/>
  <c r="L102" i="5"/>
  <c r="L68" i="5"/>
  <c r="L66" i="5"/>
  <c r="L43" i="5"/>
  <c r="L37" i="5"/>
  <c r="L38" i="5"/>
  <c r="L83" i="5"/>
  <c r="L92" i="5"/>
  <c r="L72" i="5"/>
  <c r="L48" i="5"/>
  <c r="L67" i="5"/>
  <c r="L100" i="5"/>
  <c r="L93" i="5"/>
  <c r="L45" i="5"/>
  <c r="L73" i="5"/>
  <c r="L79" i="5"/>
  <c r="L88" i="5"/>
  <c r="L76" i="5"/>
  <c r="L44" i="5"/>
  <c r="L35" i="5"/>
  <c r="L81" i="5"/>
  <c r="L42" i="5"/>
  <c r="L87" i="5"/>
  <c r="L34" i="5"/>
  <c r="L28" i="5"/>
  <c r="L25" i="5"/>
  <c r="L30" i="5"/>
  <c r="L11" i="5"/>
  <c r="L6" i="5"/>
  <c r="L21" i="5"/>
  <c r="L24" i="5"/>
  <c r="L26" i="5"/>
  <c r="L29" i="5"/>
  <c r="L64" i="5"/>
  <c r="L90" i="5"/>
  <c r="L27" i="5"/>
  <c r="L9" i="5"/>
  <c r="L31" i="5"/>
  <c r="L23" i="5"/>
  <c r="L15" i="5"/>
  <c r="L19" i="5"/>
  <c r="L18" i="5"/>
  <c r="L16" i="5"/>
  <c r="L13" i="5"/>
  <c r="L20" i="5"/>
  <c r="L22" i="5"/>
  <c r="L7" i="5"/>
  <c r="L12" i="5"/>
  <c r="L8" i="5"/>
  <c r="L10" i="5"/>
  <c r="L17" i="5"/>
  <c r="L36" i="5"/>
  <c r="L89" i="5"/>
  <c r="L33" i="5"/>
  <c r="L62" i="5"/>
  <c r="L103" i="5"/>
  <c r="L80" i="5"/>
  <c r="L50" i="5"/>
  <c r="L46" i="5"/>
  <c r="L104" i="5"/>
  <c r="L98" i="5"/>
  <c r="L65" i="5"/>
  <c r="L99" i="5"/>
  <c r="L97" i="5"/>
  <c r="L71" i="5"/>
  <c r="L56" i="5"/>
  <c r="L49" i="5"/>
  <c r="L61" i="5"/>
  <c r="L70" i="5"/>
  <c r="L51" i="5"/>
  <c r="L57" i="5"/>
  <c r="L59" i="5"/>
  <c r="L85" i="5"/>
  <c r="L55" i="5"/>
  <c r="L40" i="5"/>
  <c r="L91" i="5"/>
  <c r="L53" i="5"/>
  <c r="L14" i="5"/>
  <c r="L60" i="5"/>
  <c r="L101" i="5"/>
  <c r="L41" i="5"/>
  <c r="L94" i="5"/>
  <c r="L69" i="5"/>
  <c r="L39" i="5"/>
  <c r="L82" i="5"/>
  <c r="L105" i="5"/>
  <c r="L63" i="5"/>
  <c r="M70" i="5"/>
  <c r="M68" i="5"/>
  <c r="M77" i="5"/>
  <c r="M100" i="5"/>
  <c r="M92" i="5"/>
  <c r="M36" i="5"/>
  <c r="M41" i="5"/>
  <c r="M48" i="5"/>
  <c r="M105" i="5"/>
  <c r="M63" i="5"/>
  <c r="M98" i="5"/>
  <c r="M79" i="5"/>
  <c r="M60" i="5"/>
  <c r="M53" i="5"/>
  <c r="M80" i="5"/>
  <c r="M37" i="5"/>
  <c r="M43" i="5"/>
  <c r="M69" i="5"/>
  <c r="M18" i="5"/>
  <c r="M24" i="5"/>
  <c r="M25" i="5"/>
  <c r="M6" i="5"/>
  <c r="M13" i="5"/>
  <c r="M20" i="5"/>
  <c r="M7" i="5"/>
  <c r="M103" i="5"/>
  <c r="M52" i="5"/>
  <c r="M57" i="5"/>
  <c r="M35" i="5"/>
  <c r="M84" i="5"/>
  <c r="M82" i="5"/>
  <c r="M38" i="5"/>
  <c r="M89" i="5"/>
  <c r="M62" i="5"/>
  <c r="M88" i="5"/>
  <c r="M81" i="5"/>
  <c r="M58" i="5"/>
  <c r="M40" i="5"/>
  <c r="M90" i="5"/>
  <c r="M65" i="5"/>
  <c r="M47" i="5"/>
  <c r="M78" i="5"/>
  <c r="M28" i="5"/>
  <c r="M21" i="5"/>
  <c r="M23" i="5"/>
  <c r="M30" i="5"/>
  <c r="M17" i="5"/>
  <c r="M16" i="5"/>
  <c r="M54" i="5"/>
  <c r="M15" i="5"/>
  <c r="M83" i="5"/>
  <c r="M71" i="5"/>
  <c r="M50" i="5"/>
  <c r="M49" i="5"/>
  <c r="M102" i="5"/>
  <c r="M76" i="5"/>
  <c r="M67" i="5"/>
  <c r="M95" i="5"/>
  <c r="M99" i="5"/>
  <c r="M93" i="5"/>
  <c r="M72" i="5"/>
  <c r="M73" i="5"/>
  <c r="M42" i="5"/>
  <c r="M66" i="5"/>
  <c r="M97" i="5"/>
  <c r="M94" i="5"/>
  <c r="M55" i="5"/>
  <c r="M61" i="5"/>
  <c r="M26" i="5"/>
  <c r="M32" i="5"/>
  <c r="M29" i="5"/>
  <c r="M11" i="5"/>
  <c r="M10" i="5"/>
  <c r="M31" i="5"/>
  <c r="M19" i="5"/>
  <c r="M14" i="5"/>
  <c r="M104" i="5"/>
  <c r="M39" i="5"/>
  <c r="M34" i="5"/>
  <c r="M75" i="5"/>
  <c r="M87" i="5"/>
  <c r="M44" i="5"/>
  <c r="M101" i="5"/>
  <c r="M64" i="5"/>
  <c r="M91" i="5"/>
  <c r="M45" i="5"/>
  <c r="M56" i="5"/>
  <c r="M86" i="5"/>
  <c r="M59" i="5"/>
  <c r="M85" i="5"/>
  <c r="M46" i="5"/>
  <c r="M96" i="5"/>
  <c r="M74" i="5"/>
  <c r="M12" i="5"/>
  <c r="M51" i="5"/>
  <c r="M33" i="5"/>
  <c r="M27" i="5"/>
  <c r="M9" i="5"/>
  <c r="M22" i="5"/>
  <c r="M8" i="5"/>
  <c r="N44" i="5"/>
  <c r="N100" i="5"/>
  <c r="N88" i="5"/>
  <c r="N56" i="5"/>
  <c r="N59" i="5"/>
  <c r="N46" i="5"/>
  <c r="N54" i="5"/>
  <c r="N40" i="5"/>
  <c r="N81" i="5"/>
  <c r="N42" i="5"/>
  <c r="N55" i="5"/>
  <c r="N50" i="5"/>
  <c r="N74" i="5"/>
  <c r="N79" i="5"/>
  <c r="N58" i="5"/>
  <c r="N47" i="5"/>
  <c r="N23" i="5"/>
  <c r="N10" i="5"/>
  <c r="N70" i="5"/>
  <c r="N24" i="5"/>
  <c r="N75" i="5"/>
  <c r="N28" i="5"/>
  <c r="N6" i="5"/>
  <c r="N22" i="5"/>
  <c r="N14" i="5"/>
  <c r="N104" i="5"/>
  <c r="N67" i="5"/>
  <c r="N97" i="5"/>
  <c r="N80" i="5"/>
  <c r="N32" i="5"/>
  <c r="N43" i="5"/>
  <c r="N35" i="5"/>
  <c r="N103" i="5"/>
  <c r="N34" i="5"/>
  <c r="N73" i="5"/>
  <c r="N83" i="5"/>
  <c r="N92" i="5"/>
  <c r="N61" i="5"/>
  <c r="N98" i="5"/>
  <c r="N36" i="5"/>
  <c r="N51" i="5"/>
  <c r="N84" i="5"/>
  <c r="N12" i="5"/>
  <c r="N31" i="5"/>
  <c r="N39" i="5"/>
  <c r="N25" i="5"/>
  <c r="N29" i="5"/>
  <c r="N18" i="5"/>
  <c r="N20" i="5"/>
  <c r="N17" i="5"/>
  <c r="N102" i="5"/>
  <c r="N77" i="5"/>
  <c r="N69" i="5"/>
  <c r="N72" i="5"/>
  <c r="N66" i="5"/>
  <c r="N78" i="5"/>
  <c r="N93" i="5"/>
  <c r="N96" i="5"/>
  <c r="N49" i="5"/>
  <c r="N53" i="5"/>
  <c r="N85" i="5"/>
  <c r="N76" i="5"/>
  <c r="N95" i="5"/>
  <c r="N57" i="5"/>
  <c r="N101" i="5"/>
  <c r="N65" i="5"/>
  <c r="N89" i="5"/>
  <c r="N19" i="5"/>
  <c r="N7" i="5"/>
  <c r="N45" i="5"/>
  <c r="N26" i="5"/>
  <c r="N27" i="5"/>
  <c r="N16" i="5"/>
  <c r="N82" i="5"/>
  <c r="N30" i="5"/>
  <c r="N48" i="5"/>
  <c r="N99" i="5"/>
  <c r="N71" i="5"/>
  <c r="N64" i="5"/>
  <c r="N91" i="5"/>
  <c r="N62" i="5"/>
  <c r="N37" i="5"/>
  <c r="N68" i="5"/>
  <c r="N33" i="5"/>
  <c r="N38" i="5"/>
  <c r="N87" i="5"/>
  <c r="N60" i="5"/>
  <c r="N90" i="5"/>
  <c r="N94" i="5"/>
  <c r="N86" i="5"/>
  <c r="N41" i="5"/>
  <c r="N105" i="5"/>
  <c r="N9" i="5"/>
  <c r="N21" i="5"/>
  <c r="N63" i="5"/>
  <c r="N11" i="5"/>
  <c r="N52" i="5"/>
  <c r="N13" i="5"/>
  <c r="N15" i="5"/>
  <c r="N8" i="5"/>
  <c r="O71" i="5"/>
  <c r="O76" i="5"/>
  <c r="O67" i="5"/>
  <c r="O62" i="5"/>
  <c r="O40" i="5"/>
  <c r="O89" i="5"/>
  <c r="O74" i="5"/>
  <c r="O36" i="5"/>
  <c r="O70" i="5"/>
  <c r="O47" i="5"/>
  <c r="O75" i="5"/>
  <c r="O13" i="5"/>
  <c r="O23" i="5"/>
  <c r="O19" i="5"/>
  <c r="O18" i="5"/>
  <c r="O39" i="5"/>
  <c r="O52" i="5"/>
  <c r="O91" i="5"/>
  <c r="O103" i="5"/>
  <c r="O68" i="5"/>
  <c r="O98" i="5"/>
  <c r="O49" i="5"/>
  <c r="O86" i="5"/>
  <c r="O58" i="5"/>
  <c r="O87" i="5"/>
  <c r="O50" i="5"/>
  <c r="O61" i="5"/>
  <c r="O44" i="5"/>
  <c r="O78" i="5"/>
  <c r="O38" i="5"/>
  <c r="O93" i="5"/>
  <c r="O105" i="5"/>
  <c r="O42" i="5"/>
  <c r="O22" i="5"/>
  <c r="O24" i="5"/>
  <c r="O8" i="5"/>
  <c r="O6" i="5"/>
  <c r="O9" i="5"/>
  <c r="O16" i="5"/>
  <c r="O14" i="5"/>
  <c r="O59" i="5"/>
  <c r="O64" i="5"/>
  <c r="O33" i="5"/>
  <c r="O95" i="5"/>
  <c r="O80" i="5"/>
  <c r="O51" i="5"/>
  <c r="O77" i="5"/>
  <c r="O35" i="5"/>
  <c r="O53" i="5"/>
  <c r="O45" i="5"/>
  <c r="O57" i="5"/>
  <c r="O28" i="5"/>
  <c r="O20" i="5"/>
  <c r="O11" i="5"/>
  <c r="O31" i="5"/>
  <c r="O69" i="5"/>
  <c r="O92" i="5"/>
  <c r="O32" i="5"/>
  <c r="O96" i="5"/>
  <c r="O34" i="5"/>
  <c r="O83" i="5"/>
  <c r="O90" i="5"/>
  <c r="O55" i="5"/>
  <c r="O29" i="5"/>
  <c r="O17" i="5"/>
  <c r="O102" i="5"/>
  <c r="O84" i="5"/>
  <c r="O66" i="5"/>
  <c r="O43" i="5"/>
  <c r="O88" i="5"/>
  <c r="O60" i="5"/>
  <c r="O101" i="5"/>
  <c r="O94" i="5"/>
  <c r="O63" i="5"/>
  <c r="O97" i="5"/>
  <c r="O56" i="5"/>
  <c r="O65" i="5"/>
  <c r="O104" i="5"/>
  <c r="O41" i="5"/>
  <c r="O79" i="5"/>
  <c r="O48" i="5"/>
  <c r="O82" i="5"/>
  <c r="O37" i="5"/>
  <c r="O15" i="5"/>
  <c r="O30" i="5"/>
  <c r="O25" i="5"/>
  <c r="O10" i="5"/>
  <c r="O12" i="5"/>
  <c r="O7" i="5"/>
  <c r="O21" i="5"/>
  <c r="O72" i="5"/>
  <c r="O73" i="5"/>
  <c r="O85" i="5"/>
  <c r="O46" i="5"/>
  <c r="O99" i="5"/>
  <c r="O100" i="5"/>
  <c r="O54" i="5"/>
  <c r="O27" i="5"/>
  <c r="O81" i="5"/>
  <c r="O26" i="5"/>
  <c r="P96" i="5"/>
  <c r="P40" i="5"/>
  <c r="P39" i="5"/>
  <c r="P47" i="5"/>
  <c r="P41" i="5"/>
  <c r="P36" i="5"/>
  <c r="P87" i="5"/>
  <c r="P63" i="5"/>
  <c r="P18" i="5"/>
  <c r="P20" i="5"/>
  <c r="P19" i="5"/>
  <c r="P97" i="5"/>
  <c r="P88" i="5"/>
  <c r="P64" i="5"/>
  <c r="P82" i="5"/>
  <c r="P105" i="5"/>
  <c r="P48" i="5"/>
  <c r="P65" i="5"/>
  <c r="P78" i="5"/>
  <c r="P90" i="5"/>
  <c r="P102" i="5"/>
  <c r="P43" i="5"/>
  <c r="P71" i="5"/>
  <c r="P98" i="5"/>
  <c r="P93" i="5"/>
  <c r="P33" i="5"/>
  <c r="P49" i="5"/>
  <c r="P103" i="5"/>
  <c r="P61" i="5"/>
  <c r="P29" i="5"/>
  <c r="P31" i="5"/>
  <c r="P62" i="5"/>
  <c r="P23" i="5"/>
  <c r="P21" i="5"/>
  <c r="P30" i="5"/>
  <c r="P6" i="5"/>
  <c r="P85" i="5"/>
  <c r="P60" i="5"/>
  <c r="P50" i="5"/>
  <c r="P32" i="5"/>
  <c r="P57" i="5"/>
  <c r="P81" i="5"/>
  <c r="P55" i="5"/>
  <c r="P37" i="5"/>
  <c r="P84" i="5"/>
  <c r="P53" i="5"/>
  <c r="P73" i="5"/>
  <c r="P99" i="5"/>
  <c r="P95" i="5"/>
  <c r="P11" i="5"/>
  <c r="P27" i="5"/>
  <c r="P16" i="5"/>
  <c r="P17" i="5"/>
  <c r="P9" i="5"/>
  <c r="P80" i="5"/>
  <c r="P46" i="5"/>
  <c r="P58" i="5"/>
  <c r="P101" i="5"/>
  <c r="P56" i="5"/>
  <c r="P22" i="5"/>
  <c r="P10" i="5"/>
  <c r="P69" i="5"/>
  <c r="P72" i="5"/>
  <c r="P44" i="5"/>
  <c r="P91" i="5"/>
  <c r="P35" i="5"/>
  <c r="P51" i="5"/>
  <c r="P75" i="5"/>
  <c r="P54" i="5"/>
  <c r="P42" i="5"/>
  <c r="P66" i="5"/>
  <c r="P38" i="5"/>
  <c r="P52" i="5"/>
  <c r="P89" i="5"/>
  <c r="P45" i="5"/>
  <c r="P92" i="5"/>
  <c r="P74" i="5"/>
  <c r="P34" i="5"/>
  <c r="P24" i="5"/>
  <c r="P12" i="5"/>
  <c r="P83" i="5"/>
  <c r="P86" i="5"/>
  <c r="P13" i="5"/>
  <c r="P25" i="5"/>
  <c r="P8" i="5"/>
  <c r="P7" i="5"/>
  <c r="P68" i="5"/>
  <c r="P100" i="5"/>
  <c r="P77" i="5"/>
  <c r="P59" i="5"/>
  <c r="P104" i="5"/>
  <c r="P79" i="5"/>
  <c r="P94" i="5"/>
  <c r="P67" i="5"/>
  <c r="P70" i="5"/>
  <c r="P26" i="5"/>
  <c r="P76" i="5"/>
  <c r="P28" i="5"/>
  <c r="P15" i="5"/>
  <c r="P14" i="5"/>
  <c r="Q101" i="5"/>
  <c r="Q76" i="5"/>
  <c r="Q87" i="5"/>
  <c r="D27" i="18"/>
  <c r="D24" i="18"/>
  <c r="M62" i="20" s="1"/>
  <c r="D28" i="18"/>
  <c r="F72" i="10"/>
  <c r="F7" i="10"/>
  <c r="F9" i="10" s="1"/>
  <c r="F11" i="10" s="1"/>
  <c r="F12" i="18"/>
  <c r="F33" i="10"/>
  <c r="F35" i="10" s="1"/>
  <c r="F37" i="10" s="1"/>
  <c r="F59" i="10"/>
  <c r="F46" i="10"/>
  <c r="F48" i="10" s="1"/>
  <c r="F50" i="10" s="1"/>
  <c r="F20" i="10"/>
  <c r="F22" i="10" s="1"/>
  <c r="F24" i="10" s="1"/>
  <c r="E39" i="18"/>
  <c r="E37" i="18"/>
  <c r="E41" i="18"/>
  <c r="N18" i="20" s="1"/>
  <c r="K18" i="11" s="1"/>
  <c r="E36" i="18"/>
  <c r="E35" i="18"/>
  <c r="E43" i="18"/>
  <c r="N29" i="20" s="1"/>
  <c r="K29" i="11" s="1"/>
  <c r="E45" i="18"/>
  <c r="N75" i="20" s="1"/>
  <c r="K75" i="11" s="1"/>
  <c r="E34" i="18"/>
  <c r="E32" i="18"/>
  <c r="E38" i="18"/>
  <c r="E44" i="18"/>
  <c r="E29" i="18" s="1"/>
  <c r="E30" i="18"/>
  <c r="E40" i="18"/>
  <c r="E22" i="18"/>
  <c r="E26" i="18" s="1"/>
  <c r="E33" i="18"/>
  <c r="E31" i="18"/>
  <c r="F89" i="18"/>
  <c r="F84" i="18"/>
  <c r="F88" i="18"/>
  <c r="F80" i="18"/>
  <c r="F91" i="18"/>
  <c r="F76" i="18"/>
  <c r="F81" i="18"/>
  <c r="F92" i="18"/>
  <c r="F77" i="18" s="1"/>
  <c r="F85" i="18"/>
  <c r="F78" i="18"/>
  <c r="F87" i="18"/>
  <c r="F75" i="18"/>
  <c r="F86" i="18"/>
  <c r="F93" i="18"/>
  <c r="F83" i="18"/>
  <c r="F82" i="18"/>
  <c r="F79" i="18"/>
  <c r="AL16" i="11"/>
  <c r="F52" i="10" l="1"/>
  <c r="F100" i="10" s="1"/>
  <c r="M58" i="20"/>
  <c r="M49" i="20"/>
  <c r="J49" i="11" s="1"/>
  <c r="E10" i="13"/>
  <c r="E59" i="13" s="1"/>
  <c r="E109" i="10"/>
  <c r="F53" i="10"/>
  <c r="F54" i="10" s="1"/>
  <c r="F89" i="10"/>
  <c r="M48" i="20"/>
  <c r="D116" i="13" s="1"/>
  <c r="C81" i="10"/>
  <c r="C18" i="7"/>
  <c r="C68" i="10"/>
  <c r="C17" i="7"/>
  <c r="D143" i="13"/>
  <c r="D106" i="13"/>
  <c r="J38" i="11"/>
  <c r="N38" i="20"/>
  <c r="S75" i="20"/>
  <c r="S18" i="20"/>
  <c r="R31" i="20"/>
  <c r="J31" i="11"/>
  <c r="R39" i="20"/>
  <c r="J39" i="11"/>
  <c r="D107" i="13"/>
  <c r="R40" i="20"/>
  <c r="J40" i="11"/>
  <c r="D108" i="13"/>
  <c r="R49" i="20"/>
  <c r="R53" i="20"/>
  <c r="D14" i="21"/>
  <c r="D13" i="21"/>
  <c r="C41" i="21"/>
  <c r="D98" i="13"/>
  <c r="C55" i="10"/>
  <c r="C16" i="7"/>
  <c r="J37" i="11"/>
  <c r="N68" i="20"/>
  <c r="K68" i="11" s="1"/>
  <c r="M72" i="20"/>
  <c r="J72" i="11" s="1"/>
  <c r="N37" i="20"/>
  <c r="S37" i="20" s="1"/>
  <c r="D97" i="13"/>
  <c r="C10" i="12"/>
  <c r="R70" i="20"/>
  <c r="D85" i="13"/>
  <c r="J34" i="11"/>
  <c r="S29" i="20"/>
  <c r="M71" i="20"/>
  <c r="R71" i="20" s="1"/>
  <c r="M73" i="20"/>
  <c r="D141" i="13" s="1"/>
  <c r="M56" i="20"/>
  <c r="M51" i="20"/>
  <c r="D119" i="13" s="1"/>
  <c r="N70" i="20"/>
  <c r="N39" i="20"/>
  <c r="K39" i="11" s="1"/>
  <c r="N40" i="20"/>
  <c r="K40" i="11" s="1"/>
  <c r="N77" i="20"/>
  <c r="K77" i="11" s="1"/>
  <c r="N78" i="20"/>
  <c r="K78" i="11" s="1"/>
  <c r="N79" i="20"/>
  <c r="N76" i="20"/>
  <c r="K76" i="11" s="1"/>
  <c r="N6" i="20"/>
  <c r="K6" i="11" s="1"/>
  <c r="N17" i="20"/>
  <c r="K17" i="11" s="1"/>
  <c r="M60" i="20"/>
  <c r="R60" i="20" s="1"/>
  <c r="M44" i="20"/>
  <c r="R44" i="20" s="1"/>
  <c r="M52" i="20"/>
  <c r="D120" i="13" s="1"/>
  <c r="R79" i="20"/>
  <c r="J79" i="11"/>
  <c r="J66" i="11"/>
  <c r="R66" i="20"/>
  <c r="J78" i="11"/>
  <c r="R78" i="20"/>
  <c r="J45" i="11"/>
  <c r="R45" i="20"/>
  <c r="M61" i="20"/>
  <c r="R61" i="20" s="1"/>
  <c r="D134" i="13"/>
  <c r="R77" i="20"/>
  <c r="J77" i="11"/>
  <c r="N45" i="20"/>
  <c r="K45" i="11" s="1"/>
  <c r="N66" i="20"/>
  <c r="K66" i="11" s="1"/>
  <c r="N34" i="20"/>
  <c r="N36" i="20"/>
  <c r="K36" i="11" s="1"/>
  <c r="M57" i="20"/>
  <c r="R57" i="20" s="1"/>
  <c r="M55" i="20"/>
  <c r="R55" i="20" s="1"/>
  <c r="R17" i="20"/>
  <c r="J17" i="11"/>
  <c r="J36" i="11"/>
  <c r="R36" i="20"/>
  <c r="R76" i="20"/>
  <c r="J76" i="11"/>
  <c r="D84" i="13"/>
  <c r="D105" i="13"/>
  <c r="C39" i="13"/>
  <c r="C49" i="13" s="1"/>
  <c r="C67" i="13" s="1"/>
  <c r="C42" i="10" s="1"/>
  <c r="D136" i="13"/>
  <c r="D113" i="13"/>
  <c r="D147" i="13"/>
  <c r="D144" i="13"/>
  <c r="D145" i="13"/>
  <c r="C62" i="13"/>
  <c r="D138" i="13"/>
  <c r="D104" i="13"/>
  <c r="D123" i="13"/>
  <c r="D127" i="13"/>
  <c r="D146" i="13"/>
  <c r="R27" i="20"/>
  <c r="J27" i="11"/>
  <c r="R9" i="20"/>
  <c r="J9" i="11"/>
  <c r="R20" i="20"/>
  <c r="J20" i="11"/>
  <c r="R25" i="20"/>
  <c r="J25" i="11"/>
  <c r="R26" i="20"/>
  <c r="J26" i="11"/>
  <c r="R11" i="20"/>
  <c r="J11" i="11"/>
  <c r="R12" i="20"/>
  <c r="J12" i="11"/>
  <c r="J55" i="11"/>
  <c r="R67" i="20"/>
  <c r="J67" i="11"/>
  <c r="R15" i="20"/>
  <c r="J15" i="11"/>
  <c r="R63" i="20"/>
  <c r="J63" i="11"/>
  <c r="J60" i="11"/>
  <c r="R58" i="20"/>
  <c r="J58" i="11"/>
  <c r="R13" i="20"/>
  <c r="J13" i="11"/>
  <c r="R7" i="20"/>
  <c r="J7" i="11"/>
  <c r="R28" i="20"/>
  <c r="J28" i="11"/>
  <c r="R19" i="20"/>
  <c r="J19" i="11"/>
  <c r="R22" i="20"/>
  <c r="J22" i="11"/>
  <c r="R30" i="20"/>
  <c r="J30" i="11"/>
  <c r="J61" i="11"/>
  <c r="R8" i="20"/>
  <c r="J8" i="11"/>
  <c r="R33" i="20"/>
  <c r="J33" i="11"/>
  <c r="R24" i="20"/>
  <c r="J24" i="11"/>
  <c r="R62" i="20"/>
  <c r="J62" i="11"/>
  <c r="R14" i="20"/>
  <c r="J14" i="11"/>
  <c r="R16" i="20"/>
  <c r="J16" i="11"/>
  <c r="R10" i="20"/>
  <c r="J10" i="11"/>
  <c r="R23" i="20"/>
  <c r="J23" i="11"/>
  <c r="R21" i="20"/>
  <c r="J21" i="11"/>
  <c r="R32" i="20"/>
  <c r="J32" i="11"/>
  <c r="R35" i="20"/>
  <c r="J35" i="11"/>
  <c r="D135" i="13"/>
  <c r="D96" i="13"/>
  <c r="D91" i="13"/>
  <c r="M43" i="20"/>
  <c r="D111" i="13" s="1"/>
  <c r="C38" i="13"/>
  <c r="C48" i="13" s="1"/>
  <c r="C66" i="13" s="1"/>
  <c r="C29" i="10" s="1"/>
  <c r="D74" i="13"/>
  <c r="D102" i="13"/>
  <c r="D117" i="13"/>
  <c r="D95" i="13"/>
  <c r="D77" i="13"/>
  <c r="D75" i="13"/>
  <c r="D129" i="13"/>
  <c r="D103" i="13"/>
  <c r="D126" i="13"/>
  <c r="D81" i="13"/>
  <c r="F26" i="10"/>
  <c r="F98" i="10" s="1"/>
  <c r="E103" i="10"/>
  <c r="D76" i="13"/>
  <c r="D101" i="13"/>
  <c r="D99" i="13"/>
  <c r="D90" i="13"/>
  <c r="D87" i="13"/>
  <c r="D88" i="13"/>
  <c r="D80" i="13"/>
  <c r="D100" i="13"/>
  <c r="D83" i="13"/>
  <c r="D79" i="13"/>
  <c r="D92" i="13"/>
  <c r="D121" i="13"/>
  <c r="E121" i="13" s="1"/>
  <c r="F121" i="13" s="1"/>
  <c r="F39" i="10"/>
  <c r="F99" i="10" s="1"/>
  <c r="D131" i="13"/>
  <c r="D89" i="13"/>
  <c r="D94" i="13"/>
  <c r="D128" i="13"/>
  <c r="D93" i="13"/>
  <c r="D78" i="13"/>
  <c r="D82" i="13"/>
  <c r="D130" i="13"/>
  <c r="Q4" i="20"/>
  <c r="C37" i="13"/>
  <c r="C47" i="13" s="1"/>
  <c r="C65" i="13" s="1"/>
  <c r="C16" i="10" s="1"/>
  <c r="C8" i="12"/>
  <c r="I4" i="11"/>
  <c r="N26" i="20"/>
  <c r="K26" i="11" s="1"/>
  <c r="N63" i="20"/>
  <c r="K63" i="11" s="1"/>
  <c r="N25" i="20"/>
  <c r="K25" i="11" s="1"/>
  <c r="N27" i="20"/>
  <c r="K27" i="11" s="1"/>
  <c r="N24" i="20"/>
  <c r="N8" i="20"/>
  <c r="K8" i="11" s="1"/>
  <c r="N12" i="20"/>
  <c r="K12" i="11" s="1"/>
  <c r="N7" i="20"/>
  <c r="N10" i="20"/>
  <c r="N9" i="20"/>
  <c r="K9" i="11" s="1"/>
  <c r="N16" i="20"/>
  <c r="N14" i="20"/>
  <c r="K14" i="11" s="1"/>
  <c r="N13" i="20"/>
  <c r="N11" i="20"/>
  <c r="K11" i="11" s="1"/>
  <c r="N15" i="20"/>
  <c r="K15" i="11" s="1"/>
  <c r="F13" i="10"/>
  <c r="F97" i="10" s="1"/>
  <c r="F14" i="10"/>
  <c r="F15" i="10" s="1"/>
  <c r="F86" i="10"/>
  <c r="R6" i="20"/>
  <c r="D112" i="10"/>
  <c r="E9" i="13"/>
  <c r="E108" i="10"/>
  <c r="C9" i="12"/>
  <c r="N67" i="20"/>
  <c r="N20" i="20"/>
  <c r="K20" i="11" s="1"/>
  <c r="N22" i="20"/>
  <c r="N53" i="20"/>
  <c r="N21" i="20"/>
  <c r="K21" i="11" s="1"/>
  <c r="N19" i="20"/>
  <c r="N54" i="20"/>
  <c r="N28" i="20"/>
  <c r="K28" i="11" s="1"/>
  <c r="N23" i="20"/>
  <c r="K23" i="11" s="1"/>
  <c r="D56" i="13"/>
  <c r="D21" i="7"/>
  <c r="E93" i="10"/>
  <c r="E14" i="13" s="1"/>
  <c r="E107" i="10"/>
  <c r="E8" i="13"/>
  <c r="D22" i="7"/>
  <c r="D57" i="13"/>
  <c r="F40" i="10"/>
  <c r="F41" i="10" s="1"/>
  <c r="F88" i="10"/>
  <c r="N31" i="20"/>
  <c r="K31" i="11" s="1"/>
  <c r="N35" i="20"/>
  <c r="K35" i="11" s="1"/>
  <c r="N30" i="20"/>
  <c r="K30" i="11" s="1"/>
  <c r="N33" i="20"/>
  <c r="K33" i="11" s="1"/>
  <c r="N32" i="20"/>
  <c r="K32" i="11" s="1"/>
  <c r="F27" i="10"/>
  <c r="F28" i="10" s="1"/>
  <c r="F87" i="10"/>
  <c r="M50" i="20"/>
  <c r="M47" i="20"/>
  <c r="R47" i="20" s="1"/>
  <c r="M41" i="20"/>
  <c r="M46" i="20"/>
  <c r="M42" i="20"/>
  <c r="E7" i="13"/>
  <c r="E86" i="13" s="1"/>
  <c r="E106" i="10"/>
  <c r="E94" i="10"/>
  <c r="E15" i="13" s="1"/>
  <c r="E92" i="10"/>
  <c r="E13" i="13" s="1"/>
  <c r="C24" i="13"/>
  <c r="C15" i="21"/>
  <c r="D23" i="7"/>
  <c r="D58" i="13"/>
  <c r="E42" i="18"/>
  <c r="F44" i="18"/>
  <c r="F29" i="18" s="1"/>
  <c r="F40" i="18"/>
  <c r="F34" i="18"/>
  <c r="F38" i="18"/>
  <c r="F43" i="18"/>
  <c r="O29" i="20" s="1"/>
  <c r="F36" i="18"/>
  <c r="F37" i="18"/>
  <c r="F30" i="18"/>
  <c r="F22" i="18"/>
  <c r="F26" i="18" s="1"/>
  <c r="F45" i="18"/>
  <c r="O75" i="20" s="1"/>
  <c r="F39" i="18"/>
  <c r="F33" i="18"/>
  <c r="F41" i="18"/>
  <c r="O18" i="20" s="1"/>
  <c r="F35" i="18"/>
  <c r="F32" i="18"/>
  <c r="F31" i="18"/>
  <c r="AL17" i="11"/>
  <c r="E24" i="18"/>
  <c r="N72" i="20" s="1"/>
  <c r="K72" i="11" s="1"/>
  <c r="E28" i="18"/>
  <c r="E27" i="18"/>
  <c r="F90" i="18"/>
  <c r="AM7" i="11"/>
  <c r="AI7" i="11"/>
  <c r="N49" i="20" l="1"/>
  <c r="N48" i="20"/>
  <c r="K48" i="11" s="1"/>
  <c r="J48" i="11"/>
  <c r="S38" i="20"/>
  <c r="K38" i="11"/>
  <c r="N58" i="20"/>
  <c r="K58" i="11" s="1"/>
  <c r="R48" i="20"/>
  <c r="F10" i="13"/>
  <c r="F59" i="13" s="1"/>
  <c r="F109" i="10"/>
  <c r="S70" i="20"/>
  <c r="K70" i="11"/>
  <c r="S34" i="20"/>
  <c r="K34" i="11"/>
  <c r="E106" i="13"/>
  <c r="F106" i="13" s="1"/>
  <c r="O38" i="20"/>
  <c r="T38" i="20" s="1"/>
  <c r="E143" i="13"/>
  <c r="T18" i="20"/>
  <c r="L18" i="11"/>
  <c r="T75" i="20"/>
  <c r="L75" i="11"/>
  <c r="S31" i="20"/>
  <c r="E99" i="13"/>
  <c r="E117" i="13"/>
  <c r="F117" i="13" s="1"/>
  <c r="E116" i="13"/>
  <c r="S40" i="20"/>
  <c r="E107" i="13"/>
  <c r="F107" i="13" s="1"/>
  <c r="S39" i="20"/>
  <c r="E108" i="13"/>
  <c r="F108" i="13" s="1"/>
  <c r="R41" i="20"/>
  <c r="J41" i="11"/>
  <c r="D125" i="13"/>
  <c r="J57" i="11"/>
  <c r="R56" i="20"/>
  <c r="J56" i="11"/>
  <c r="D124" i="13"/>
  <c r="E13" i="21"/>
  <c r="E14" i="21"/>
  <c r="E92" i="13"/>
  <c r="F92" i="13" s="1"/>
  <c r="E98" i="13"/>
  <c r="F98" i="13" s="1"/>
  <c r="D140" i="13"/>
  <c r="E140" i="13" s="1"/>
  <c r="R72" i="20"/>
  <c r="S68" i="20"/>
  <c r="J44" i="11"/>
  <c r="O68" i="20"/>
  <c r="T68" i="20" s="1"/>
  <c r="E97" i="13"/>
  <c r="O37" i="20"/>
  <c r="T37" i="20" s="1"/>
  <c r="E100" i="13"/>
  <c r="E134" i="13"/>
  <c r="D112" i="13"/>
  <c r="E105" i="13"/>
  <c r="J52" i="11"/>
  <c r="R52" i="20"/>
  <c r="D19" i="13"/>
  <c r="N71" i="20"/>
  <c r="S71" i="20" s="1"/>
  <c r="N56" i="20"/>
  <c r="K56" i="11" s="1"/>
  <c r="N73" i="20"/>
  <c r="N51" i="20"/>
  <c r="E119" i="13" s="1"/>
  <c r="N55" i="20"/>
  <c r="S55" i="20" s="1"/>
  <c r="N44" i="20"/>
  <c r="S17" i="20"/>
  <c r="S78" i="20"/>
  <c r="S72" i="20"/>
  <c r="R73" i="20"/>
  <c r="J73" i="11"/>
  <c r="O76" i="20"/>
  <c r="O78" i="20"/>
  <c r="O77" i="20"/>
  <c r="O79" i="20"/>
  <c r="O6" i="20"/>
  <c r="L6" i="11" s="1"/>
  <c r="O17" i="20"/>
  <c r="O45" i="20"/>
  <c r="O66" i="20"/>
  <c r="T29" i="20"/>
  <c r="L29" i="11"/>
  <c r="O39" i="20"/>
  <c r="O40" i="20"/>
  <c r="N60" i="20"/>
  <c r="S66" i="20"/>
  <c r="S77" i="20"/>
  <c r="N52" i="20"/>
  <c r="S45" i="20"/>
  <c r="S76" i="20"/>
  <c r="R51" i="20"/>
  <c r="J51" i="11"/>
  <c r="O70" i="20"/>
  <c r="T70" i="20" s="1"/>
  <c r="O34" i="20"/>
  <c r="L34" i="11" s="1"/>
  <c r="O36" i="20"/>
  <c r="N57" i="20"/>
  <c r="N61" i="20"/>
  <c r="N62" i="20"/>
  <c r="S36" i="20"/>
  <c r="S79" i="20"/>
  <c r="E84" i="13"/>
  <c r="E123" i="13"/>
  <c r="C15" i="7"/>
  <c r="E136" i="13"/>
  <c r="E76" i="13"/>
  <c r="E102" i="13"/>
  <c r="E135" i="13"/>
  <c r="E85" i="13"/>
  <c r="E78" i="13"/>
  <c r="E77" i="13"/>
  <c r="E138" i="13"/>
  <c r="E127" i="13"/>
  <c r="F127" i="13" s="1"/>
  <c r="E113" i="13"/>
  <c r="E74" i="13"/>
  <c r="E144" i="13"/>
  <c r="E128" i="13"/>
  <c r="F128" i="13" s="1"/>
  <c r="E79" i="13"/>
  <c r="E146" i="13"/>
  <c r="E104" i="13"/>
  <c r="E145" i="13"/>
  <c r="E147" i="13"/>
  <c r="S19" i="20"/>
  <c r="S22" i="20"/>
  <c r="S49" i="20"/>
  <c r="S14" i="20"/>
  <c r="S7" i="20"/>
  <c r="E82" i="13"/>
  <c r="E83" i="13"/>
  <c r="E87" i="13"/>
  <c r="R43" i="20"/>
  <c r="J43" i="11"/>
  <c r="S32" i="20"/>
  <c r="S23" i="20"/>
  <c r="S15" i="20"/>
  <c r="S16" i="20"/>
  <c r="S12" i="20"/>
  <c r="S27" i="20"/>
  <c r="S26" i="20"/>
  <c r="E103" i="13"/>
  <c r="D18" i="13"/>
  <c r="S20" i="20"/>
  <c r="E94" i="13"/>
  <c r="E90" i="13"/>
  <c r="E91" i="13"/>
  <c r="R42" i="20"/>
  <c r="J42" i="11"/>
  <c r="R50" i="20"/>
  <c r="J50" i="11"/>
  <c r="S33" i="20"/>
  <c r="S28" i="20"/>
  <c r="S21" i="20"/>
  <c r="S67" i="20"/>
  <c r="S48" i="20"/>
  <c r="S11" i="20"/>
  <c r="S9" i="20"/>
  <c r="S8" i="20"/>
  <c r="S25" i="20"/>
  <c r="E93" i="13"/>
  <c r="E89" i="13"/>
  <c r="E80" i="13"/>
  <c r="E129" i="13"/>
  <c r="F129" i="13" s="1"/>
  <c r="E95" i="13"/>
  <c r="S35" i="20"/>
  <c r="R46" i="20"/>
  <c r="J46" i="11"/>
  <c r="S30" i="20"/>
  <c r="S54" i="20"/>
  <c r="S53" i="20"/>
  <c r="S13" i="20"/>
  <c r="S10" i="20"/>
  <c r="S24" i="20"/>
  <c r="S63" i="20"/>
  <c r="E131" i="13"/>
  <c r="E88" i="13"/>
  <c r="E101" i="13"/>
  <c r="E81" i="13"/>
  <c r="E75" i="13"/>
  <c r="E96" i="13"/>
  <c r="D17" i="13"/>
  <c r="J17" i="13" s="1"/>
  <c r="N43" i="20"/>
  <c r="K43" i="11" s="1"/>
  <c r="C14" i="7"/>
  <c r="D115" i="13"/>
  <c r="E115" i="13" s="1"/>
  <c r="F115" i="13" s="1"/>
  <c r="F103" i="10"/>
  <c r="D110" i="13"/>
  <c r="D114" i="13"/>
  <c r="D118" i="13"/>
  <c r="D109" i="13"/>
  <c r="C15" i="12"/>
  <c r="C44" i="13"/>
  <c r="C71" i="13" s="1"/>
  <c r="C13" i="7"/>
  <c r="O26" i="20"/>
  <c r="O25" i="20"/>
  <c r="O24" i="20"/>
  <c r="O27" i="20"/>
  <c r="O63" i="20"/>
  <c r="O7" i="20"/>
  <c r="O10" i="20"/>
  <c r="O12" i="20"/>
  <c r="O8" i="20"/>
  <c r="O9" i="20"/>
  <c r="O16" i="20"/>
  <c r="O11" i="20"/>
  <c r="L11" i="11" s="1"/>
  <c r="O15" i="20"/>
  <c r="O14" i="20"/>
  <c r="O13" i="20"/>
  <c r="O53" i="20"/>
  <c r="O22" i="20"/>
  <c r="O20" i="20"/>
  <c r="O21" i="20"/>
  <c r="O54" i="20"/>
  <c r="T54" i="20" s="1"/>
  <c r="O19" i="20"/>
  <c r="O23" i="20"/>
  <c r="O28" i="20"/>
  <c r="C22" i="21"/>
  <c r="C20" i="21"/>
  <c r="C27" i="21"/>
  <c r="C21" i="21"/>
  <c r="C23" i="21"/>
  <c r="C24" i="21"/>
  <c r="C19" i="21"/>
  <c r="C26" i="21"/>
  <c r="C18" i="21"/>
  <c r="C28" i="21" s="1"/>
  <c r="C25" i="21"/>
  <c r="E112" i="10"/>
  <c r="M4" i="20"/>
  <c r="F7" i="13"/>
  <c r="F86" i="13" s="1"/>
  <c r="F106" i="10"/>
  <c r="F92" i="10"/>
  <c r="F13" i="13" s="1"/>
  <c r="F94" i="10"/>
  <c r="F15" i="13" s="1"/>
  <c r="O30" i="20"/>
  <c r="O35" i="20"/>
  <c r="O31" i="20"/>
  <c r="O33" i="20"/>
  <c r="O32" i="20"/>
  <c r="O67" i="20"/>
  <c r="C29" i="13"/>
  <c r="C30" i="13"/>
  <c r="C32" i="13"/>
  <c r="C28" i="13"/>
  <c r="C27" i="13"/>
  <c r="C31" i="13"/>
  <c r="C33" i="13"/>
  <c r="E21" i="7"/>
  <c r="E56" i="13"/>
  <c r="F9" i="13"/>
  <c r="F108" i="10"/>
  <c r="E23" i="7"/>
  <c r="E58" i="13"/>
  <c r="S6" i="20"/>
  <c r="N50" i="20"/>
  <c r="K50" i="11" s="1"/>
  <c r="N47" i="20"/>
  <c r="N41" i="20"/>
  <c r="K41" i="11" s="1"/>
  <c r="N46" i="20"/>
  <c r="K46" i="11" s="1"/>
  <c r="N42" i="20"/>
  <c r="K42" i="11" s="1"/>
  <c r="F93" i="10"/>
  <c r="F14" i="13" s="1"/>
  <c r="F8" i="13"/>
  <c r="F107" i="10"/>
  <c r="D62" i="13"/>
  <c r="E57" i="13"/>
  <c r="E22" i="7"/>
  <c r="D52" i="13"/>
  <c r="D70" i="13" s="1"/>
  <c r="D50" i="13"/>
  <c r="D68" i="13" s="1"/>
  <c r="D51" i="13"/>
  <c r="D69" i="13" s="1"/>
  <c r="F42" i="18"/>
  <c r="AL18" i="11"/>
  <c r="F28" i="18"/>
  <c r="F24" i="18"/>
  <c r="O61" i="20" s="1"/>
  <c r="F27" i="18"/>
  <c r="AI11" i="11"/>
  <c r="AI17" i="11"/>
  <c r="AI10" i="11"/>
  <c r="AI9" i="11"/>
  <c r="AI16" i="11"/>
  <c r="AI8" i="11"/>
  <c r="AI14" i="11"/>
  <c r="AM13" i="11"/>
  <c r="AM16" i="11"/>
  <c r="AI12" i="11"/>
  <c r="AM15" i="11"/>
  <c r="AM10" i="11"/>
  <c r="AM17" i="11"/>
  <c r="AI15" i="11"/>
  <c r="AM11" i="11"/>
  <c r="AM9" i="11"/>
  <c r="AI13" i="11"/>
  <c r="S58" i="20" l="1"/>
  <c r="E126" i="13"/>
  <c r="O49" i="20"/>
  <c r="L49" i="11" s="1"/>
  <c r="S62" i="20"/>
  <c r="K62" i="11"/>
  <c r="O48" i="20"/>
  <c r="L48" i="11" s="1"/>
  <c r="F97" i="13"/>
  <c r="F143" i="13"/>
  <c r="O58" i="20"/>
  <c r="S57" i="20"/>
  <c r="K57" i="11"/>
  <c r="E38" i="13" s="1"/>
  <c r="E48" i="13" s="1"/>
  <c r="E66" i="13" s="1"/>
  <c r="E29" i="10" s="1"/>
  <c r="E120" i="13"/>
  <c r="K52" i="11"/>
  <c r="E141" i="13"/>
  <c r="K73" i="11"/>
  <c r="S60" i="20"/>
  <c r="K60" i="11"/>
  <c r="C83" i="7"/>
  <c r="C70" i="12"/>
  <c r="C73" i="7"/>
  <c r="D81" i="10"/>
  <c r="D18" i="7"/>
  <c r="C81" i="12"/>
  <c r="C83" i="12"/>
  <c r="C84" i="12"/>
  <c r="C82" i="12"/>
  <c r="C80" i="12"/>
  <c r="C79" i="12"/>
  <c r="C72" i="12"/>
  <c r="C74" i="12"/>
  <c r="C73" i="12"/>
  <c r="C75" i="12"/>
  <c r="C71" i="12"/>
  <c r="D68" i="10"/>
  <c r="D17" i="7"/>
  <c r="L38" i="11"/>
  <c r="E20" i="13"/>
  <c r="T31" i="20"/>
  <c r="L31" i="11"/>
  <c r="F100" i="13"/>
  <c r="F99" i="13"/>
  <c r="E125" i="13"/>
  <c r="F125" i="13" s="1"/>
  <c r="E19" i="13"/>
  <c r="T40" i="20"/>
  <c r="L40" i="11"/>
  <c r="S56" i="20"/>
  <c r="E124" i="13"/>
  <c r="T39" i="20"/>
  <c r="L39" i="11"/>
  <c r="S41" i="20"/>
  <c r="E109" i="13"/>
  <c r="F109" i="13" s="1"/>
  <c r="E39" i="21"/>
  <c r="E40" i="21"/>
  <c r="T53" i="20"/>
  <c r="F14" i="21"/>
  <c r="F13" i="21"/>
  <c r="F134" i="13"/>
  <c r="E130" i="13"/>
  <c r="D39" i="13"/>
  <c r="D49" i="13" s="1"/>
  <c r="D67" i="13" s="1"/>
  <c r="D15" i="7" s="1"/>
  <c r="L37" i="11"/>
  <c r="L68" i="11"/>
  <c r="D55" i="10"/>
  <c r="D16" i="7"/>
  <c r="C66" i="12"/>
  <c r="C64" i="12"/>
  <c r="C65" i="12"/>
  <c r="C63" i="12"/>
  <c r="C62" i="12"/>
  <c r="C61" i="12"/>
  <c r="O72" i="20"/>
  <c r="L72" i="11" s="1"/>
  <c r="F105" i="13"/>
  <c r="T34" i="20"/>
  <c r="E112" i="13"/>
  <c r="S52" i="20"/>
  <c r="S44" i="20"/>
  <c r="L70" i="11"/>
  <c r="D38" i="13"/>
  <c r="D48" i="13" s="1"/>
  <c r="D66" i="13" s="1"/>
  <c r="D29" i="10" s="1"/>
  <c r="S61" i="20"/>
  <c r="O57" i="20"/>
  <c r="T57" i="20" s="1"/>
  <c r="O55" i="20"/>
  <c r="F123" i="13" s="1"/>
  <c r="O60" i="20"/>
  <c r="T60" i="20" s="1"/>
  <c r="F147" i="13"/>
  <c r="F138" i="13"/>
  <c r="F85" i="13"/>
  <c r="F102" i="13"/>
  <c r="T76" i="20"/>
  <c r="L76" i="11"/>
  <c r="S51" i="20"/>
  <c r="F145" i="13"/>
  <c r="T66" i="20"/>
  <c r="L66" i="11"/>
  <c r="L79" i="11"/>
  <c r="T79" i="20"/>
  <c r="S73" i="20"/>
  <c r="O71" i="20"/>
  <c r="T71" i="20" s="1"/>
  <c r="O73" i="20"/>
  <c r="O51" i="20"/>
  <c r="F119" i="13" s="1"/>
  <c r="O56" i="20"/>
  <c r="F104" i="13"/>
  <c r="F144" i="13"/>
  <c r="F113" i="13"/>
  <c r="L36" i="11"/>
  <c r="T36" i="20"/>
  <c r="T45" i="20"/>
  <c r="L45" i="11"/>
  <c r="L77" i="11"/>
  <c r="T77" i="20"/>
  <c r="O52" i="20"/>
  <c r="O44" i="20"/>
  <c r="T44" i="20" s="1"/>
  <c r="O62" i="20"/>
  <c r="L62" i="11" s="1"/>
  <c r="F146" i="13"/>
  <c r="F74" i="13"/>
  <c r="T17" i="20"/>
  <c r="L17" i="11"/>
  <c r="T78" i="20"/>
  <c r="L78" i="11"/>
  <c r="E114" i="13"/>
  <c r="F84" i="13"/>
  <c r="F75" i="13"/>
  <c r="F131" i="13"/>
  <c r="F136" i="13"/>
  <c r="D9" i="12"/>
  <c r="D37" i="13"/>
  <c r="D47" i="13" s="1"/>
  <c r="D65" i="13" s="1"/>
  <c r="F93" i="13"/>
  <c r="R4" i="20"/>
  <c r="F82" i="13"/>
  <c r="F95" i="13"/>
  <c r="F96" i="13"/>
  <c r="T20" i="20"/>
  <c r="L20" i="11"/>
  <c r="T16" i="20"/>
  <c r="L16" i="11"/>
  <c r="F135" i="13"/>
  <c r="T32" i="20"/>
  <c r="L32" i="11"/>
  <c r="T30" i="20"/>
  <c r="L30" i="11"/>
  <c r="L55" i="11"/>
  <c r="T22" i="20"/>
  <c r="L22" i="11"/>
  <c r="T14" i="20"/>
  <c r="L14" i="11"/>
  <c r="T9" i="20"/>
  <c r="L9" i="11"/>
  <c r="T7" i="20"/>
  <c r="L7" i="11"/>
  <c r="T25" i="20"/>
  <c r="L25" i="11"/>
  <c r="L60" i="11"/>
  <c r="E110" i="13"/>
  <c r="F81" i="13"/>
  <c r="D8" i="12"/>
  <c r="F91" i="13"/>
  <c r="F79" i="13"/>
  <c r="T35" i="20"/>
  <c r="L35" i="11"/>
  <c r="T10" i="20"/>
  <c r="L10" i="11"/>
  <c r="F103" i="13"/>
  <c r="T33" i="20"/>
  <c r="L33" i="11"/>
  <c r="T28" i="20"/>
  <c r="L28" i="11"/>
  <c r="T58" i="20"/>
  <c r="L58" i="11"/>
  <c r="T15" i="20"/>
  <c r="L15" i="11"/>
  <c r="T8" i="20"/>
  <c r="L8" i="11"/>
  <c r="T63" i="20"/>
  <c r="L63" i="11"/>
  <c r="T61" i="20"/>
  <c r="L61" i="11"/>
  <c r="F101" i="13"/>
  <c r="F80" i="13"/>
  <c r="F90" i="13"/>
  <c r="F87" i="13"/>
  <c r="F77" i="13"/>
  <c r="F140" i="13"/>
  <c r="F76" i="13"/>
  <c r="T19" i="20"/>
  <c r="L19" i="11"/>
  <c r="T13" i="20"/>
  <c r="L13" i="11"/>
  <c r="T24" i="20"/>
  <c r="L24" i="11"/>
  <c r="T67" i="20"/>
  <c r="L67" i="11"/>
  <c r="T23" i="20"/>
  <c r="L23" i="11"/>
  <c r="T21" i="20"/>
  <c r="L21" i="11"/>
  <c r="T12" i="20"/>
  <c r="L12" i="11"/>
  <c r="T27" i="20"/>
  <c r="L27" i="11"/>
  <c r="T26" i="20"/>
  <c r="L26" i="11"/>
  <c r="F88" i="13"/>
  <c r="F89" i="13"/>
  <c r="F94" i="13"/>
  <c r="F83" i="13"/>
  <c r="F78" i="13"/>
  <c r="S43" i="20"/>
  <c r="D10" i="12"/>
  <c r="E18" i="13"/>
  <c r="S42" i="20"/>
  <c r="E40" i="13"/>
  <c r="E50" i="13" s="1"/>
  <c r="E68" i="13" s="1"/>
  <c r="S50" i="20"/>
  <c r="S47" i="20"/>
  <c r="S46" i="20"/>
  <c r="E118" i="13"/>
  <c r="E17" i="13"/>
  <c r="E111" i="13"/>
  <c r="J4" i="11"/>
  <c r="O43" i="20"/>
  <c r="C21" i="7"/>
  <c r="C23" i="7"/>
  <c r="C22" i="7"/>
  <c r="E62" i="13"/>
  <c r="C53" i="13"/>
  <c r="C34" i="13"/>
  <c r="F17" i="13"/>
  <c r="T11" i="20"/>
  <c r="F56" i="13"/>
  <c r="O41" i="20"/>
  <c r="O50" i="20"/>
  <c r="O47" i="20"/>
  <c r="T47" i="20" s="1"/>
  <c r="O46" i="20"/>
  <c r="O42" i="20"/>
  <c r="F58" i="13"/>
  <c r="F23" i="7"/>
  <c r="E51" i="13"/>
  <c r="E69" i="13" s="1"/>
  <c r="E52" i="13"/>
  <c r="E70" i="13" s="1"/>
  <c r="D15" i="21"/>
  <c r="D24" i="13"/>
  <c r="F57" i="13"/>
  <c r="N4" i="20"/>
  <c r="T6" i="20"/>
  <c r="F18" i="13"/>
  <c r="F112" i="10"/>
  <c r="AL19" i="11"/>
  <c r="AM18" i="11"/>
  <c r="AI18" i="11"/>
  <c r="T48" i="20" l="1"/>
  <c r="C64" i="7"/>
  <c r="C21" i="12" s="1"/>
  <c r="C29" i="12" s="1"/>
  <c r="C63" i="7"/>
  <c r="C20" i="12" s="1"/>
  <c r="C28" i="12" s="1"/>
  <c r="C61" i="7"/>
  <c r="C69" i="7" s="1"/>
  <c r="C62" i="7"/>
  <c r="C19" i="12" s="1"/>
  <c r="C27" i="12" s="1"/>
  <c r="C65" i="7"/>
  <c r="C22" i="12" s="1"/>
  <c r="C30" i="12" s="1"/>
  <c r="C66" i="7"/>
  <c r="F141" i="13"/>
  <c r="F126" i="13"/>
  <c r="F120" i="13"/>
  <c r="T49" i="20"/>
  <c r="F116" i="13"/>
  <c r="L57" i="11"/>
  <c r="C91" i="7"/>
  <c r="C82" i="7"/>
  <c r="C85" i="12"/>
  <c r="E81" i="10"/>
  <c r="E18" i="7"/>
  <c r="C76" i="12"/>
  <c r="E68" i="10"/>
  <c r="E17" i="7"/>
  <c r="F124" i="13"/>
  <c r="T41" i="20"/>
  <c r="L41" i="11"/>
  <c r="T56" i="20"/>
  <c r="L56" i="11"/>
  <c r="E41" i="21"/>
  <c r="D42" i="10"/>
  <c r="T72" i="20"/>
  <c r="C67" i="12"/>
  <c r="E55" i="10"/>
  <c r="E16" i="7"/>
  <c r="D14" i="7"/>
  <c r="T55" i="20"/>
  <c r="T62" i="20"/>
  <c r="F112" i="13"/>
  <c r="E39" i="13"/>
  <c r="E49" i="13" s="1"/>
  <c r="E67" i="13" s="1"/>
  <c r="E42" i="10" s="1"/>
  <c r="L44" i="11"/>
  <c r="F130" i="13"/>
  <c r="L52" i="11"/>
  <c r="T52" i="20"/>
  <c r="T51" i="20"/>
  <c r="L51" i="11"/>
  <c r="T73" i="20"/>
  <c r="L73" i="11"/>
  <c r="F114" i="13"/>
  <c r="D44" i="13"/>
  <c r="D71" i="13" s="1"/>
  <c r="E9" i="12"/>
  <c r="S4" i="20"/>
  <c r="F110" i="13"/>
  <c r="D15" i="12"/>
  <c r="F118" i="13"/>
  <c r="T43" i="20"/>
  <c r="L43" i="11"/>
  <c r="T50" i="20"/>
  <c r="L50" i="11"/>
  <c r="F111" i="13"/>
  <c r="K4" i="11"/>
  <c r="T46" i="20"/>
  <c r="L46" i="11"/>
  <c r="T42" i="20"/>
  <c r="L42" i="11"/>
  <c r="E10" i="12"/>
  <c r="E37" i="13"/>
  <c r="E8" i="12"/>
  <c r="C48" i="12"/>
  <c r="C38" i="12"/>
  <c r="E14" i="7"/>
  <c r="C43" i="12"/>
  <c r="C44" i="12"/>
  <c r="C46" i="12"/>
  <c r="C47" i="12"/>
  <c r="C45" i="12"/>
  <c r="C36" i="12"/>
  <c r="C34" i="12"/>
  <c r="C37" i="12"/>
  <c r="C39" i="12"/>
  <c r="C35" i="12"/>
  <c r="C54" i="12"/>
  <c r="C55" i="12"/>
  <c r="C71" i="7"/>
  <c r="C52" i="12"/>
  <c r="C56" i="12"/>
  <c r="C57" i="12"/>
  <c r="C18" i="12"/>
  <c r="C26" i="12" s="1"/>
  <c r="C53" i="12"/>
  <c r="F50" i="13"/>
  <c r="F68" i="13" s="1"/>
  <c r="F51" i="13"/>
  <c r="F69" i="13" s="1"/>
  <c r="F52" i="13"/>
  <c r="F70" i="13" s="1"/>
  <c r="D25" i="21"/>
  <c r="D27" i="21"/>
  <c r="D26" i="21"/>
  <c r="D19" i="21"/>
  <c r="D22" i="21"/>
  <c r="D20" i="21"/>
  <c r="D18" i="21"/>
  <c r="D28" i="21" s="1"/>
  <c r="D21" i="21"/>
  <c r="D23" i="21"/>
  <c r="D24" i="21"/>
  <c r="O4" i="20"/>
  <c r="E15" i="21"/>
  <c r="E24" i="13"/>
  <c r="D13" i="7"/>
  <c r="D16" i="10"/>
  <c r="F62" i="13"/>
  <c r="D32" i="13"/>
  <c r="D28" i="13"/>
  <c r="D29" i="13"/>
  <c r="D27" i="13"/>
  <c r="D30" i="13"/>
  <c r="D33" i="13"/>
  <c r="D31" i="13"/>
  <c r="AL20" i="11"/>
  <c r="AI19" i="11"/>
  <c r="AM19" i="11"/>
  <c r="D61" i="7" l="1"/>
  <c r="D69" i="7" s="1"/>
  <c r="C70" i="7"/>
  <c r="C79" i="7" s="1"/>
  <c r="D64" i="7"/>
  <c r="D21" i="12" s="1"/>
  <c r="D29" i="12" s="1"/>
  <c r="D63" i="7"/>
  <c r="D71" i="7" s="1"/>
  <c r="D62" i="7"/>
  <c r="D19" i="12" s="1"/>
  <c r="D27" i="12" s="1"/>
  <c r="D66" i="7"/>
  <c r="D23" i="12" s="1"/>
  <c r="D31" i="12" s="1"/>
  <c r="D65" i="7"/>
  <c r="D73" i="7" s="1"/>
  <c r="D91" i="7" s="1"/>
  <c r="C74" i="7"/>
  <c r="C92" i="7" s="1"/>
  <c r="C23" i="12"/>
  <c r="C31" i="12" s="1"/>
  <c r="D82" i="7"/>
  <c r="D79" i="12"/>
  <c r="D74" i="7"/>
  <c r="F81" i="10"/>
  <c r="C82" i="10" s="1"/>
  <c r="F18" i="7"/>
  <c r="D82" i="12"/>
  <c r="D83" i="12"/>
  <c r="D84" i="12"/>
  <c r="D81" i="12"/>
  <c r="D80" i="12"/>
  <c r="D74" i="12"/>
  <c r="D73" i="12"/>
  <c r="D72" i="12"/>
  <c r="D75" i="12"/>
  <c r="D71" i="12"/>
  <c r="D70" i="12"/>
  <c r="F68" i="10"/>
  <c r="C69" i="10" s="1"/>
  <c r="F17" i="7"/>
  <c r="D65" i="12"/>
  <c r="D64" i="12"/>
  <c r="D66" i="12"/>
  <c r="D63" i="12"/>
  <c r="D62" i="12"/>
  <c r="F55" i="10"/>
  <c r="C56" i="10" s="1"/>
  <c r="F16" i="7"/>
  <c r="D61" i="12"/>
  <c r="E15" i="7"/>
  <c r="F10" i="12"/>
  <c r="F38" i="13"/>
  <c r="F48" i="13" s="1"/>
  <c r="F66" i="13" s="1"/>
  <c r="F29" i="10" s="1"/>
  <c r="C30" i="10" s="1"/>
  <c r="F39" i="13"/>
  <c r="F49" i="13" s="1"/>
  <c r="F67" i="13" s="1"/>
  <c r="F42" i="10" s="1"/>
  <c r="C43" i="10" s="1"/>
  <c r="D53" i="13"/>
  <c r="L4" i="11"/>
  <c r="F9" i="12"/>
  <c r="E15" i="12"/>
  <c r="T4" i="20"/>
  <c r="D34" i="13"/>
  <c r="F8" i="12"/>
  <c r="F37" i="13"/>
  <c r="E44" i="13"/>
  <c r="E71" i="13" s="1"/>
  <c r="E47" i="13"/>
  <c r="D52" i="12"/>
  <c r="E44" i="12"/>
  <c r="E70" i="7"/>
  <c r="D87" i="7"/>
  <c r="D78" i="7"/>
  <c r="E46" i="12"/>
  <c r="E45" i="12"/>
  <c r="E48" i="12"/>
  <c r="E43" i="12"/>
  <c r="E47" i="12"/>
  <c r="C49" i="12"/>
  <c r="C80" i="7"/>
  <c r="C89" i="7"/>
  <c r="C78" i="7"/>
  <c r="C87" i="7"/>
  <c r="C40" i="12"/>
  <c r="C58" i="12"/>
  <c r="F24" i="13"/>
  <c r="F15" i="21"/>
  <c r="D47" i="12"/>
  <c r="D45" i="12"/>
  <c r="D48" i="12"/>
  <c r="D46" i="12"/>
  <c r="D44" i="12"/>
  <c r="D34" i="12"/>
  <c r="D38" i="12"/>
  <c r="D39" i="12"/>
  <c r="D18" i="12"/>
  <c r="D26" i="12" s="1"/>
  <c r="D36" i="12"/>
  <c r="D37" i="12"/>
  <c r="D35" i="12"/>
  <c r="D56" i="12"/>
  <c r="D55" i="12"/>
  <c r="D54" i="12"/>
  <c r="D57" i="12"/>
  <c r="D53" i="12"/>
  <c r="E33" i="13"/>
  <c r="E32" i="13"/>
  <c r="E30" i="13"/>
  <c r="E27" i="13"/>
  <c r="E28" i="13"/>
  <c r="E31" i="13"/>
  <c r="E29" i="13"/>
  <c r="E24" i="21"/>
  <c r="E23" i="21"/>
  <c r="E26" i="21"/>
  <c r="E20" i="21"/>
  <c r="E22" i="21"/>
  <c r="E25" i="21"/>
  <c r="E27" i="21"/>
  <c r="E18" i="21"/>
  <c r="E28" i="21" s="1"/>
  <c r="E19" i="21"/>
  <c r="E21" i="21"/>
  <c r="D43" i="12"/>
  <c r="AL21" i="11"/>
  <c r="BI31" i="29"/>
  <c r="AM20" i="11"/>
  <c r="BI30" i="29"/>
  <c r="BD32" i="29"/>
  <c r="BI32" i="29"/>
  <c r="BD30" i="29"/>
  <c r="BD31" i="29"/>
  <c r="BI28" i="29"/>
  <c r="BI27" i="29"/>
  <c r="BD28" i="29"/>
  <c r="BD29" i="29"/>
  <c r="AI20" i="11"/>
  <c r="BI29" i="29"/>
  <c r="D20" i="12" l="1"/>
  <c r="D28" i="12" s="1"/>
  <c r="C88" i="7"/>
  <c r="D22" i="12"/>
  <c r="D30" i="12" s="1"/>
  <c r="D70" i="7"/>
  <c r="E82" i="7"/>
  <c r="E79" i="12"/>
  <c r="E74" i="7"/>
  <c r="D92" i="7"/>
  <c r="D83" i="7"/>
  <c r="D85" i="12"/>
  <c r="E83" i="12"/>
  <c r="E84" i="12"/>
  <c r="E81" i="12"/>
  <c r="E82" i="12"/>
  <c r="E80" i="12"/>
  <c r="D76" i="12"/>
  <c r="E73" i="12"/>
  <c r="E72" i="12"/>
  <c r="E75" i="12"/>
  <c r="E74" i="12"/>
  <c r="E71" i="12"/>
  <c r="E70" i="12"/>
  <c r="E52" i="12"/>
  <c r="E54" i="12"/>
  <c r="D67" i="12"/>
  <c r="E64" i="12"/>
  <c r="E63" i="12"/>
  <c r="E65" i="12"/>
  <c r="E66" i="12"/>
  <c r="E62" i="12"/>
  <c r="E61" i="12"/>
  <c r="E57" i="12"/>
  <c r="E55" i="12"/>
  <c r="E53" i="12"/>
  <c r="E56" i="12"/>
  <c r="F15" i="7"/>
  <c r="F14" i="7"/>
  <c r="F15" i="12"/>
  <c r="F44" i="13"/>
  <c r="F71" i="13" s="1"/>
  <c r="F47" i="13"/>
  <c r="E34" i="13"/>
  <c r="E65" i="13"/>
  <c r="E53" i="13"/>
  <c r="E88" i="7"/>
  <c r="E79" i="7"/>
  <c r="D89" i="7"/>
  <c r="D80" i="7"/>
  <c r="E49" i="12"/>
  <c r="D58" i="12"/>
  <c r="D40" i="12"/>
  <c r="F32" i="13"/>
  <c r="F31" i="13"/>
  <c r="F30" i="13"/>
  <c r="F27" i="13"/>
  <c r="F34" i="13"/>
  <c r="F29" i="13"/>
  <c r="F33" i="13"/>
  <c r="F28" i="13"/>
  <c r="D49" i="12"/>
  <c r="F27" i="21"/>
  <c r="F18" i="21"/>
  <c r="F22" i="21"/>
  <c r="F26" i="21"/>
  <c r="F24" i="21"/>
  <c r="F21" i="21"/>
  <c r="F19" i="21"/>
  <c r="F25" i="21"/>
  <c r="F20" i="21"/>
  <c r="F28" i="21"/>
  <c r="F23" i="21"/>
  <c r="AL22" i="11"/>
  <c r="AM21" i="11"/>
  <c r="AI21" i="11"/>
  <c r="D88" i="7" l="1"/>
  <c r="D79" i="7"/>
  <c r="F83" i="7"/>
  <c r="F82" i="7"/>
  <c r="E92" i="7"/>
  <c r="E83" i="7"/>
  <c r="E85" i="12"/>
  <c r="F84" i="12"/>
  <c r="F82" i="12"/>
  <c r="F81" i="12"/>
  <c r="F83" i="12"/>
  <c r="F80" i="12"/>
  <c r="F79" i="12"/>
  <c r="F73" i="12"/>
  <c r="F74" i="12"/>
  <c r="F75" i="12"/>
  <c r="F72" i="12"/>
  <c r="F71" i="12"/>
  <c r="E76" i="12"/>
  <c r="F70" i="12"/>
  <c r="E67" i="12"/>
  <c r="F66" i="12"/>
  <c r="F63" i="12"/>
  <c r="F65" i="12"/>
  <c r="F64" i="12"/>
  <c r="F62" i="12"/>
  <c r="F61" i="12"/>
  <c r="E58" i="12"/>
  <c r="F52" i="12"/>
  <c r="F54" i="12"/>
  <c r="F56" i="12"/>
  <c r="F53" i="12"/>
  <c r="F57" i="12"/>
  <c r="F55" i="12"/>
  <c r="F53" i="13"/>
  <c r="F65" i="13"/>
  <c r="E16" i="10"/>
  <c r="E13" i="7"/>
  <c r="E64" i="7" s="1"/>
  <c r="F22" i="7"/>
  <c r="F21" i="7"/>
  <c r="AL23" i="11"/>
  <c r="BJ32" i="29"/>
  <c r="BH32" i="29"/>
  <c r="BD27" i="29"/>
  <c r="AM22" i="11"/>
  <c r="AI22" i="11"/>
  <c r="E72" i="7" l="1"/>
  <c r="E21" i="12"/>
  <c r="E29" i="12" s="1"/>
  <c r="E62" i="7"/>
  <c r="E19" i="12" s="1"/>
  <c r="E27" i="12" s="1"/>
  <c r="E63" i="7"/>
  <c r="E61" i="7"/>
  <c r="E39" i="12" s="1"/>
  <c r="E65" i="7"/>
  <c r="E66" i="7"/>
  <c r="E23" i="12" s="1"/>
  <c r="E31" i="12" s="1"/>
  <c r="F85" i="12"/>
  <c r="F76" i="12"/>
  <c r="S52" i="6"/>
  <c r="R62" i="6" s="1"/>
  <c r="S62" i="6" s="1"/>
  <c r="F67" i="12"/>
  <c r="F58" i="12"/>
  <c r="E36" i="12"/>
  <c r="F16" i="10"/>
  <c r="C17" i="10" s="1"/>
  <c r="F13" i="7"/>
  <c r="E35" i="12"/>
  <c r="E37" i="12"/>
  <c r="E38" i="12"/>
  <c r="E34" i="12"/>
  <c r="F47" i="12"/>
  <c r="F45" i="12"/>
  <c r="F44" i="12"/>
  <c r="F46" i="12"/>
  <c r="F48" i="12"/>
  <c r="AL24" i="11"/>
  <c r="BJ30" i="29"/>
  <c r="BJ28" i="29"/>
  <c r="BJ31" i="29"/>
  <c r="BH30" i="29"/>
  <c r="BJ27" i="29"/>
  <c r="BJ29" i="29"/>
  <c r="AM23" i="11"/>
  <c r="BH31" i="29"/>
  <c r="BH28" i="29"/>
  <c r="BH29" i="29"/>
  <c r="BH27" i="29"/>
  <c r="F63" i="7" l="1"/>
  <c r="F20" i="12" s="1"/>
  <c r="F28" i="12" s="1"/>
  <c r="F64" i="7"/>
  <c r="E90" i="7"/>
  <c r="E81" i="7"/>
  <c r="F62" i="7"/>
  <c r="F43" i="12" s="1"/>
  <c r="F49" i="12" s="1"/>
  <c r="E20" i="12"/>
  <c r="E28" i="12" s="1"/>
  <c r="E71" i="7"/>
  <c r="E18" i="12"/>
  <c r="E26" i="12" s="1"/>
  <c r="E69" i="7"/>
  <c r="E87" i="7" s="1"/>
  <c r="F61" i="7"/>
  <c r="F69" i="7" s="1"/>
  <c r="F66" i="7"/>
  <c r="F65" i="7"/>
  <c r="E73" i="7"/>
  <c r="E91" i="7" s="1"/>
  <c r="E22" i="12"/>
  <c r="E30" i="12" s="1"/>
  <c r="S50" i="6"/>
  <c r="R60" i="6" s="1"/>
  <c r="S60" i="6" s="1"/>
  <c r="S49" i="6"/>
  <c r="R59" i="6" s="1"/>
  <c r="S59" i="6" s="1"/>
  <c r="S51" i="6"/>
  <c r="R61" i="6" s="1"/>
  <c r="S61" i="6" s="1"/>
  <c r="S47" i="6"/>
  <c r="S48" i="6"/>
  <c r="R58" i="6" s="1"/>
  <c r="S58" i="6" s="1"/>
  <c r="E40" i="12"/>
  <c r="E78" i="7"/>
  <c r="F36" i="12"/>
  <c r="F38" i="12"/>
  <c r="F39" i="12"/>
  <c r="F37" i="12"/>
  <c r="F34" i="12"/>
  <c r="F35" i="12"/>
  <c r="AN23" i="11"/>
  <c r="AO23" i="11" s="1"/>
  <c r="AN8" i="11"/>
  <c r="AO8" i="11" s="1"/>
  <c r="AN7" i="11"/>
  <c r="AO7" i="11" s="1"/>
  <c r="AN9" i="11"/>
  <c r="AO9" i="11" s="1"/>
  <c r="AN10" i="11"/>
  <c r="AO10" i="11" s="1"/>
  <c r="AN11" i="11"/>
  <c r="AO11" i="11" s="1"/>
  <c r="AN12" i="11"/>
  <c r="AO12" i="11" s="1"/>
  <c r="AN13" i="11"/>
  <c r="AO13" i="11" s="1"/>
  <c r="AN14" i="11"/>
  <c r="AO14" i="11" s="1"/>
  <c r="AN15" i="11"/>
  <c r="AO15" i="11" s="1"/>
  <c r="AN16" i="11"/>
  <c r="AO16" i="11" s="1"/>
  <c r="AN17" i="11"/>
  <c r="AO17" i="11" s="1"/>
  <c r="AN18" i="11"/>
  <c r="AO18" i="11" s="1"/>
  <c r="AN20" i="11"/>
  <c r="AO20" i="11" s="1"/>
  <c r="AN22" i="11"/>
  <c r="AO22" i="11" s="1"/>
  <c r="AN19" i="11"/>
  <c r="AO19" i="11" s="1"/>
  <c r="AN21" i="11"/>
  <c r="AO21" i="11" s="1"/>
  <c r="AL25" i="11"/>
  <c r="BK32" i="29"/>
  <c r="BK31" i="29"/>
  <c r="BK27" i="29"/>
  <c r="BK30" i="29"/>
  <c r="BK29" i="29"/>
  <c r="AM24" i="11"/>
  <c r="BK28" i="29"/>
  <c r="F72" i="7" l="1"/>
  <c r="F21" i="12"/>
  <c r="F29" i="12" s="1"/>
  <c r="F70" i="7"/>
  <c r="F18" i="12"/>
  <c r="F26" i="12" s="1"/>
  <c r="E89" i="7"/>
  <c r="E80" i="7"/>
  <c r="F19" i="12"/>
  <c r="F27" i="12" s="1"/>
  <c r="F73" i="7"/>
  <c r="F91" i="7" s="1"/>
  <c r="F22" i="12"/>
  <c r="F30" i="12" s="1"/>
  <c r="F74" i="7"/>
  <c r="F92" i="7" s="1"/>
  <c r="F23" i="12"/>
  <c r="F31" i="12" s="1"/>
  <c r="R56" i="6"/>
  <c r="S56" i="6" s="1"/>
  <c r="F78" i="7"/>
  <c r="F87" i="7"/>
  <c r="F40" i="12"/>
  <c r="AN24" i="11"/>
  <c r="AO24" i="11" s="1"/>
  <c r="AL26" i="11"/>
  <c r="AM25" i="11"/>
  <c r="F90" i="7" l="1"/>
  <c r="F81" i="7"/>
  <c r="F79" i="7"/>
  <c r="F88" i="7"/>
  <c r="R57" i="6"/>
  <c r="AN25" i="11"/>
  <c r="AO25" i="11" s="1"/>
  <c r="AL27" i="11"/>
  <c r="AM26" i="11"/>
  <c r="R63" i="6" l="1"/>
  <c r="S63" i="6" s="1"/>
  <c r="S57" i="6"/>
  <c r="AN26" i="11"/>
  <c r="AO26" i="11" s="1"/>
  <c r="AL28" i="11"/>
  <c r="AM27" i="11"/>
  <c r="AN27" i="11" l="1"/>
  <c r="AO27" i="11" s="1"/>
  <c r="AL29" i="11"/>
  <c r="AM28" i="11"/>
  <c r="AN28" i="11" l="1"/>
  <c r="AO28" i="11" s="1"/>
  <c r="AL30" i="11"/>
  <c r="AM29" i="11"/>
  <c r="AN29" i="11" l="1"/>
  <c r="AO29" i="11" s="1"/>
  <c r="AL31" i="11"/>
  <c r="AM30" i="11"/>
  <c r="AN30" i="11" l="1"/>
  <c r="AO30" i="11" s="1"/>
  <c r="AL32" i="11"/>
  <c r="AM31" i="11"/>
  <c r="AN31" i="11" l="1"/>
  <c r="AO31" i="11" s="1"/>
  <c r="AT30" i="11" s="1"/>
  <c r="AL33" i="11"/>
  <c r="AM32" i="11"/>
  <c r="AN32" i="11" l="1"/>
  <c r="AO32" i="11" s="1"/>
  <c r="AL34" i="11"/>
  <c r="AM33" i="11"/>
  <c r="AN33" i="11" l="1"/>
  <c r="AO33" i="11" s="1"/>
  <c r="AL35" i="11"/>
  <c r="AM34" i="11"/>
  <c r="AN34" i="11" l="1"/>
  <c r="AO34" i="11" s="1"/>
  <c r="AL36" i="11"/>
  <c r="AM35" i="11"/>
  <c r="AN35" i="11" l="1"/>
  <c r="AO35" i="11" s="1"/>
  <c r="AL37" i="11"/>
  <c r="AM36" i="11"/>
  <c r="AN36" i="11" l="1"/>
  <c r="AO36" i="11" s="1"/>
  <c r="AL38" i="11"/>
  <c r="AM37" i="11"/>
  <c r="AN37" i="11" l="1"/>
  <c r="AO37" i="11" s="1"/>
  <c r="AL39" i="11"/>
  <c r="AM38" i="11"/>
  <c r="AN38" i="11" l="1"/>
  <c r="AO38" i="11" s="1"/>
  <c r="AL40" i="11"/>
  <c r="AM39" i="11"/>
  <c r="AN39" i="11" l="1"/>
  <c r="AO39" i="11" s="1"/>
  <c r="AL41" i="11"/>
  <c r="AM40" i="11"/>
  <c r="AT38" i="11" l="1"/>
  <c r="AN40" i="11"/>
  <c r="AO40" i="11" s="1"/>
  <c r="AT39" i="11" s="1"/>
  <c r="AL42" i="11"/>
  <c r="AM41" i="11"/>
  <c r="AN41" i="11" l="1"/>
  <c r="AO41" i="11" s="1"/>
  <c r="AT40" i="11" s="1"/>
  <c r="AL43" i="11"/>
  <c r="AM42" i="11"/>
  <c r="AN42" i="11" l="1"/>
  <c r="AO42" i="11" s="1"/>
  <c r="AL44" i="11"/>
  <c r="AM43" i="11"/>
  <c r="AN43" i="11" l="1"/>
  <c r="AO43" i="11" s="1"/>
  <c r="AL45" i="11"/>
  <c r="AM44" i="11"/>
  <c r="AN44" i="11" l="1"/>
  <c r="AO44" i="11" s="1"/>
  <c r="AL46" i="11"/>
  <c r="AM45" i="11"/>
  <c r="AN45" i="11" l="1"/>
  <c r="AO45" i="11" s="1"/>
  <c r="AL47" i="11"/>
  <c r="AM46" i="11"/>
  <c r="AN46" i="11" l="1"/>
  <c r="AO46" i="11" s="1"/>
  <c r="AL48" i="11"/>
  <c r="AM47" i="11"/>
  <c r="AN47" i="11" l="1"/>
  <c r="AO47" i="11" s="1"/>
  <c r="AL49" i="11"/>
  <c r="AM48" i="11"/>
  <c r="AN48" i="11" l="1"/>
  <c r="AO48" i="11" s="1"/>
  <c r="AL50" i="11"/>
  <c r="AM49" i="11"/>
  <c r="AN49" i="11" l="1"/>
  <c r="AO49" i="11" s="1"/>
  <c r="AL51" i="11"/>
  <c r="AM50" i="11"/>
  <c r="AN50" i="11" l="1"/>
  <c r="AO50" i="11" s="1"/>
  <c r="AL52" i="11"/>
  <c r="AM51" i="11"/>
  <c r="AN51" i="11" l="1"/>
  <c r="AO51" i="11" s="1"/>
  <c r="AL53" i="11"/>
  <c r="AM52" i="11"/>
  <c r="AN52" i="11" l="1"/>
  <c r="AO52" i="11" s="1"/>
  <c r="AL54" i="11"/>
  <c r="AM53" i="11"/>
  <c r="AN53" i="11" l="1"/>
  <c r="AO53" i="11" s="1"/>
  <c r="AL55" i="11"/>
  <c r="AM54" i="11"/>
  <c r="AN54" i="11" l="1"/>
  <c r="AO54" i="11" s="1"/>
  <c r="AL56" i="11"/>
  <c r="AM55" i="11"/>
  <c r="AN55" i="11" l="1"/>
  <c r="AO55" i="11" s="1"/>
  <c r="AL57" i="11"/>
  <c r="AM56" i="11"/>
  <c r="AT54" i="11" l="1"/>
  <c r="AN56" i="11"/>
  <c r="AO56" i="11" s="1"/>
  <c r="AT55" i="11" s="1"/>
  <c r="AL58" i="11"/>
  <c r="AM57" i="11"/>
  <c r="AN57" i="11" l="1"/>
  <c r="AO57" i="11" s="1"/>
  <c r="AL59" i="11"/>
  <c r="AM58" i="11"/>
  <c r="AN58" i="11" l="1"/>
  <c r="AO58" i="11" s="1"/>
  <c r="AL60" i="11"/>
  <c r="AM59" i="11"/>
  <c r="AT57" i="11" l="1"/>
  <c r="AN59" i="11"/>
  <c r="AO59" i="11" s="1"/>
  <c r="AL61" i="11"/>
  <c r="AM60" i="11"/>
  <c r="AN60" i="11" l="1"/>
  <c r="AO60" i="11" s="1"/>
  <c r="AT59" i="11" s="1"/>
  <c r="AL62" i="11"/>
  <c r="AM61" i="11"/>
  <c r="AN61" i="11" l="1"/>
  <c r="AO61" i="11" s="1"/>
  <c r="AL63" i="11"/>
  <c r="AM62" i="11"/>
  <c r="AN62" i="11" l="1"/>
  <c r="AO62" i="11" s="1"/>
  <c r="AL64" i="11"/>
  <c r="AM63" i="11"/>
  <c r="AN63" i="11" l="1"/>
  <c r="AO63" i="11" s="1"/>
  <c r="AL65" i="11"/>
  <c r="AM64" i="11"/>
  <c r="AN64" i="11" l="1"/>
  <c r="AO64" i="11" s="1"/>
  <c r="AL66" i="11"/>
  <c r="AM65" i="11"/>
  <c r="AN65" i="11" l="1"/>
  <c r="AO65" i="11" s="1"/>
  <c r="AL67" i="11"/>
  <c r="AM66" i="11"/>
  <c r="AT64" i="11" l="1"/>
  <c r="AN66" i="11"/>
  <c r="AO66" i="11" s="1"/>
  <c r="AL68" i="11"/>
  <c r="AM67" i="11"/>
  <c r="AT65" i="11" l="1"/>
  <c r="AN67" i="11"/>
  <c r="AO67" i="11" s="1"/>
  <c r="AL69" i="11"/>
  <c r="AM68" i="11"/>
  <c r="AN68" i="11" l="1"/>
  <c r="AO68" i="11" s="1"/>
  <c r="AL70" i="11"/>
  <c r="AM69" i="11"/>
  <c r="AN69" i="11" l="1"/>
  <c r="AO69" i="11" s="1"/>
  <c r="AL71" i="11"/>
  <c r="AM70" i="11"/>
  <c r="AN70" i="11" l="1"/>
  <c r="AO70" i="11" s="1"/>
  <c r="AL72" i="11"/>
  <c r="AM71" i="11"/>
  <c r="AN71" i="11" l="1"/>
  <c r="AO71" i="11" s="1"/>
  <c r="AL73" i="11"/>
  <c r="AM72" i="11"/>
  <c r="AN72" i="11" l="1"/>
  <c r="AO72" i="11" s="1"/>
  <c r="AL74" i="11"/>
  <c r="AM73" i="11"/>
  <c r="AT71" i="11" l="1"/>
  <c r="AN73" i="11"/>
  <c r="AO73" i="11" s="1"/>
  <c r="AL75" i="11"/>
  <c r="AM74" i="11"/>
  <c r="AN74" i="11" l="1"/>
  <c r="AO74" i="11" s="1"/>
  <c r="AL76" i="11"/>
  <c r="AM75" i="11"/>
  <c r="AN75" i="11" l="1"/>
  <c r="AO75" i="11" s="1"/>
  <c r="AL77" i="11"/>
  <c r="AM76" i="11"/>
  <c r="AN76" i="11" l="1"/>
  <c r="AO76" i="11" s="1"/>
  <c r="AL78" i="11"/>
  <c r="AM77" i="11"/>
  <c r="AN77" i="11" l="1"/>
  <c r="AO77" i="11" s="1"/>
  <c r="AL79" i="11"/>
  <c r="AM78" i="11"/>
  <c r="AN78" i="11" l="1"/>
  <c r="AO78" i="11" s="1"/>
  <c r="AL80" i="11"/>
  <c r="AM79" i="11"/>
  <c r="AN79" i="11" l="1"/>
  <c r="AO79" i="11" s="1"/>
  <c r="AL81" i="11"/>
  <c r="AM80" i="11"/>
  <c r="AN80" i="11" l="1"/>
  <c r="AO80" i="11" s="1"/>
  <c r="AL82" i="11"/>
  <c r="AM81" i="11"/>
  <c r="AN81" i="11" l="1"/>
  <c r="AO81" i="11" s="1"/>
  <c r="AL83" i="11"/>
  <c r="AM82" i="11"/>
  <c r="AT80" i="11" l="1"/>
  <c r="AN82" i="11"/>
  <c r="AO82" i="11" s="1"/>
  <c r="AT81" i="11" s="1"/>
  <c r="AL84" i="11"/>
  <c r="AM83" i="11"/>
  <c r="AN83" i="11" l="1"/>
  <c r="AO83" i="11" s="1"/>
  <c r="AL85" i="11"/>
  <c r="AM84" i="11"/>
  <c r="AT82" i="11" l="1"/>
  <c r="AN84" i="11"/>
  <c r="AO84" i="11" s="1"/>
  <c r="AT83" i="11" s="1"/>
  <c r="AL86" i="11"/>
  <c r="AM85" i="11"/>
  <c r="AN85" i="11" l="1"/>
  <c r="AO85" i="11" s="1"/>
  <c r="AT84" i="11" s="1"/>
  <c r="AL87" i="11"/>
  <c r="AM86" i="11"/>
  <c r="AN86" i="11" l="1"/>
  <c r="AO86" i="11" s="1"/>
  <c r="AL88" i="11"/>
  <c r="AM87" i="11"/>
  <c r="AT85" i="11" l="1"/>
  <c r="AN87" i="11"/>
  <c r="AO87" i="11" s="1"/>
  <c r="AT86" i="11" s="1"/>
  <c r="AL89" i="11"/>
  <c r="AM88" i="11"/>
  <c r="AN88" i="11" l="1"/>
  <c r="AO88" i="11" s="1"/>
  <c r="AT87" i="11" s="1"/>
  <c r="AL90" i="11"/>
  <c r="AM89" i="11"/>
  <c r="AN89" i="11" l="1"/>
  <c r="AO89" i="11" s="1"/>
  <c r="AT88" i="11" s="1"/>
  <c r="AL91" i="11"/>
  <c r="AM90" i="11"/>
  <c r="AN90" i="11" l="1"/>
  <c r="AO90" i="11" s="1"/>
  <c r="AT89" i="11" s="1"/>
  <c r="AL92" i="11"/>
  <c r="AM91" i="11"/>
  <c r="AN91" i="11" l="1"/>
  <c r="AO91" i="11" s="1"/>
  <c r="AT90" i="11" s="1"/>
  <c r="AL93" i="11"/>
  <c r="AM92" i="11"/>
  <c r="AN92" i="11" l="1"/>
  <c r="AO92" i="11" s="1"/>
  <c r="AT91" i="11" s="1"/>
  <c r="AL94" i="11"/>
  <c r="AM93" i="11"/>
  <c r="AN93" i="11" l="1"/>
  <c r="AO93" i="11" s="1"/>
  <c r="AT92" i="11" s="1"/>
  <c r="AL95" i="11"/>
  <c r="AM94" i="11"/>
  <c r="AN94" i="11" l="1"/>
  <c r="AO94" i="11" s="1"/>
  <c r="AT93" i="11" s="1"/>
  <c r="AL96" i="11"/>
  <c r="AM95" i="11"/>
  <c r="AN95" i="11" l="1"/>
  <c r="AO95" i="11" s="1"/>
  <c r="AT94" i="11" s="1"/>
  <c r="AL97" i="11"/>
  <c r="AM96" i="11"/>
  <c r="AN96" i="11" l="1"/>
  <c r="AO96" i="11" s="1"/>
  <c r="AT95" i="11" s="1"/>
  <c r="AL98" i="11"/>
  <c r="AM97" i="11"/>
  <c r="AN97" i="11" l="1"/>
  <c r="AO97" i="11" s="1"/>
  <c r="AT96" i="11" s="1"/>
  <c r="AL99" i="11"/>
  <c r="AM98" i="11"/>
  <c r="AN98" i="11" l="1"/>
  <c r="AO98" i="11" s="1"/>
  <c r="AT97" i="11" s="1"/>
  <c r="AL100" i="11"/>
  <c r="AM99" i="11"/>
  <c r="AN99" i="11" l="1"/>
  <c r="AO99" i="11" s="1"/>
  <c r="AT98" i="11" s="1"/>
  <c r="AL101" i="11"/>
  <c r="AM100" i="11"/>
  <c r="AN100" i="11" l="1"/>
  <c r="AO100" i="11" s="1"/>
  <c r="AT99" i="11" s="1"/>
  <c r="AL102" i="11"/>
  <c r="AM101" i="11"/>
  <c r="AN101" i="11" l="1"/>
  <c r="AO101" i="11" s="1"/>
  <c r="AT100" i="11" s="1"/>
  <c r="AL103" i="11"/>
  <c r="AM102" i="11"/>
  <c r="AN102" i="11" l="1"/>
  <c r="AO102" i="11" s="1"/>
  <c r="AT101" i="11" s="1"/>
  <c r="AL104" i="11"/>
  <c r="AM103" i="11"/>
  <c r="AN103" i="11" l="1"/>
  <c r="AO103" i="11" s="1"/>
  <c r="AT102" i="11" s="1"/>
  <c r="AL105" i="11"/>
  <c r="AM104" i="11"/>
  <c r="AN104" i="11" l="1"/>
  <c r="AO104" i="11" s="1"/>
  <c r="AT103" i="11" s="1"/>
  <c r="AL106" i="11"/>
  <c r="AM106" i="11"/>
  <c r="AM105" i="11"/>
  <c r="AN105" i="11" l="1"/>
  <c r="AO105" i="11" s="1"/>
  <c r="AT104" i="11" s="1"/>
  <c r="AN106" i="11"/>
  <c r="AO106" i="11" s="1"/>
  <c r="AT75" i="11" s="1"/>
  <c r="AT18" i="11" l="1"/>
  <c r="AT56" i="11"/>
  <c r="AT74" i="11"/>
  <c r="AT69" i="11"/>
  <c r="AT29" i="11"/>
  <c r="AT17" i="11"/>
  <c r="AT52" i="11"/>
  <c r="AT72" i="11"/>
  <c r="AT73" i="11"/>
  <c r="AT16" i="11"/>
  <c r="AT66" i="11"/>
  <c r="AT28" i="11"/>
  <c r="AT77" i="11"/>
  <c r="AT76" i="11"/>
  <c r="AT43" i="11"/>
  <c r="AT37" i="11"/>
  <c r="AT36" i="11"/>
  <c r="AT45" i="11"/>
  <c r="AT51" i="11"/>
  <c r="AT67" i="11"/>
  <c r="AT70" i="11"/>
  <c r="AT78" i="11"/>
  <c r="AT79" i="11"/>
  <c r="AT9" i="11"/>
  <c r="AT13" i="11"/>
  <c r="AT11" i="11"/>
  <c r="AT7" i="11"/>
  <c r="AT15" i="11"/>
  <c r="AT31" i="11"/>
  <c r="AT32" i="11"/>
  <c r="AT33" i="11"/>
  <c r="AT34" i="11"/>
  <c r="AT35" i="11"/>
  <c r="AT42" i="11"/>
  <c r="AT47" i="11"/>
  <c r="AT49" i="11"/>
  <c r="AT58" i="11"/>
  <c r="AT63" i="11"/>
  <c r="AT62" i="11"/>
  <c r="AT68" i="11"/>
  <c r="AT105" i="11"/>
  <c r="AT20" i="11"/>
  <c r="AT21" i="11"/>
  <c r="AT22" i="11"/>
  <c r="AT6" i="11"/>
  <c r="AT14" i="11"/>
  <c r="AT8" i="11"/>
  <c r="AT10" i="11"/>
  <c r="AT23" i="11"/>
  <c r="AT19" i="11"/>
  <c r="AT12" i="11"/>
  <c r="AT24" i="11"/>
  <c r="AT25" i="11"/>
  <c r="AT26" i="11"/>
  <c r="AT27" i="11"/>
  <c r="AT41" i="11"/>
  <c r="AT44" i="11"/>
  <c r="AT46" i="11"/>
  <c r="AT48" i="11"/>
  <c r="AT50" i="11"/>
  <c r="AT53" i="11"/>
  <c r="AT61" i="11"/>
  <c r="AT60" i="11"/>
  <c r="Q29" i="6" l="1"/>
  <c r="Q37" i="6"/>
  <c r="Q30" i="6"/>
  <c r="Q28" i="6"/>
  <c r="Q35" i="6"/>
  <c r="Q31" i="6"/>
  <c r="Q36" i="6"/>
  <c r="Q32" i="6"/>
  <c r="Q33" i="6"/>
  <c r="Q34"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bwinfrey</author>
  </authors>
  <commentList>
    <comment ref="D14" authorId="0" shapeId="0" xr:uid="{00000000-0006-0000-0000-000001000000}">
      <text>
        <r>
          <rPr>
            <b/>
            <sz val="9"/>
            <color indexed="81"/>
            <rFont val="Tahoma"/>
            <family val="2"/>
          </rPr>
          <t>bwinfrey:</t>
        </r>
        <r>
          <rPr>
            <sz val="9"/>
            <color indexed="81"/>
            <rFont val="Tahoma"/>
            <family val="2"/>
          </rPr>
          <t xml:space="preserve">
2014-2015 RDHS cites the RHPC 4 as 84% rural</t>
        </r>
      </text>
    </comment>
    <comment ref="D23" authorId="0" shapeId="0" xr:uid="{00000000-0006-0000-0000-000002000000}">
      <text>
        <r>
          <rPr>
            <b/>
            <sz val="9"/>
            <color indexed="81"/>
            <rFont val="Tahoma"/>
            <family val="2"/>
          </rPr>
          <t>bwinfrey:</t>
        </r>
        <r>
          <rPr>
            <sz val="9"/>
            <color indexed="81"/>
            <rFont val="Tahoma"/>
            <family val="2"/>
          </rPr>
          <t xml:space="preserve">
Demproj 2018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bwinfrey</author>
  </authors>
  <commentList>
    <comment ref="D4" authorId="0" shapeId="0" xr:uid="{00000000-0006-0000-0200-000001000000}">
      <text>
        <r>
          <rPr>
            <b/>
            <sz val="9"/>
            <color indexed="81"/>
            <rFont val="Tahoma"/>
            <family val="2"/>
          </rPr>
          <t xml:space="preserve">Name of subpopulation:
</t>
        </r>
        <r>
          <rPr>
            <sz val="9"/>
            <color indexed="81"/>
            <rFont val="Tahoma"/>
            <family val="2"/>
          </rPr>
          <t>C3 calculates numbers of services needed based on an overall population level for a district, region, state, etc. within a national area.  In this cell, type the name of the subnational area you are interested in analyzing.  Please note that the name you enter here is for informational purposes only.  The name itself is not linked to any default data.</t>
        </r>
        <r>
          <rPr>
            <b/>
            <sz val="9"/>
            <color indexed="81"/>
            <rFont val="Tahoma"/>
            <family val="2"/>
          </rPr>
          <t xml:space="preserve">
</t>
        </r>
        <r>
          <rPr>
            <sz val="9"/>
            <color indexed="81"/>
            <rFont val="Tahoma"/>
            <family val="2"/>
          </rPr>
          <t xml:space="preserve">
</t>
        </r>
      </text>
    </comment>
    <comment ref="D5" authorId="0" shapeId="0" xr:uid="{00000000-0006-0000-0200-000002000000}">
      <text>
        <r>
          <rPr>
            <b/>
            <sz val="9"/>
            <color indexed="81"/>
            <rFont val="Tahoma"/>
            <family val="2"/>
          </rPr>
          <t xml:space="preserve">Country Name:
</t>
        </r>
        <r>
          <rPr>
            <sz val="9"/>
            <color indexed="81"/>
            <rFont val="Tahoma"/>
            <family val="2"/>
          </rPr>
          <t xml:space="preserve">
C3 has  default demographic data relative to age/sex distribution of populations, population growth rates, etc.  These are used in conjunction with the population of your subpopulation to establish target populations for calculating services.</t>
        </r>
      </text>
    </comment>
    <comment ref="D7" authorId="0" shapeId="0" xr:uid="{00000000-0006-0000-0200-000003000000}">
      <text>
        <r>
          <rPr>
            <b/>
            <sz val="9"/>
            <color indexed="81"/>
            <rFont val="Tahoma"/>
            <family val="2"/>
          </rPr>
          <t>Policy analysis mode</t>
        </r>
        <r>
          <rPr>
            <sz val="9"/>
            <color indexed="81"/>
            <rFont val="Tahoma"/>
            <family val="2"/>
          </rPr>
          <t xml:space="preserve">
You may address the challenge of rationalizing the workload of CHWs from one of two directions:
1) </t>
        </r>
        <r>
          <rPr>
            <i/>
            <sz val="9"/>
            <color indexed="81"/>
            <rFont val="Tahoma"/>
            <family val="2"/>
          </rPr>
          <t xml:space="preserve">Population per CHW: </t>
        </r>
        <r>
          <rPr>
            <sz val="9"/>
            <color indexed="81"/>
            <rFont val="Tahoma"/>
            <family val="2"/>
          </rPr>
          <t xml:space="preserve"> In this case you anticipate that CHWs will be allocated on a per capita basis. This may correspond for example to placing one CHW in each village where you know the average number of people per village; or perhaps you are trying to achieve a targeted coverage of CHWs per population relative to a national or global norm.
2)  </t>
        </r>
        <r>
          <rPr>
            <i/>
            <sz val="9"/>
            <color indexed="81"/>
            <rFont val="Tahoma"/>
            <family val="2"/>
          </rPr>
          <t>Number of CHWs available:</t>
        </r>
        <r>
          <rPr>
            <sz val="9"/>
            <color indexed="81"/>
            <rFont val="Tahoma"/>
            <family val="2"/>
          </rPr>
          <t xml:space="preserve"> In this case you have a fixed number of CHWs, possibly defined by a plan, budget constraint, or known number of extant CHWs.
</t>
        </r>
      </text>
    </comment>
    <comment ref="D9" authorId="0" shapeId="0" xr:uid="{00000000-0006-0000-0200-000004000000}">
      <text>
        <r>
          <rPr>
            <b/>
            <sz val="9"/>
            <color indexed="81"/>
            <rFont val="Tahoma"/>
            <family val="2"/>
          </rPr>
          <t>Year of analysis:</t>
        </r>
        <r>
          <rPr>
            <sz val="9"/>
            <color indexed="81"/>
            <rFont val="Tahoma"/>
            <family val="2"/>
          </rPr>
          <t xml:space="preserve">
Enter the year that you are analyzing.  This entry will not influence any of the calculations, but will be used in some of the input and output labels.</t>
        </r>
      </text>
    </comment>
    <comment ref="D11" authorId="0" shapeId="0" xr:uid="{00000000-0006-0000-0200-000005000000}">
      <text>
        <r>
          <rPr>
            <b/>
            <sz val="9"/>
            <color indexed="81"/>
            <rFont val="Tahoma"/>
            <family val="2"/>
          </rPr>
          <t>Total population of subnational area</t>
        </r>
        <r>
          <rPr>
            <sz val="9"/>
            <color indexed="81"/>
            <rFont val="Tahoma"/>
            <family val="2"/>
          </rPr>
          <t xml:space="preserve">
Source of data:  </t>
        </r>
        <r>
          <rPr>
            <i/>
            <sz val="9"/>
            <color indexed="81"/>
            <rFont val="Tahoma"/>
            <family val="2"/>
          </rPr>
          <t>Enter source of information</t>
        </r>
        <r>
          <rPr>
            <sz val="9"/>
            <color indexed="81"/>
            <rFont val="Tahoma"/>
            <family val="2"/>
          </rPr>
          <t xml:space="preserve">
Enter the total population of the subnational area you are analyzing.  The estimate should correspond to the year that was entered immediately above.  The subnational population is disaggregated by age and sex to be consistent with national distributions.
Implicitly, C3 assumes that the proportional distribution by age and by sex as well as birth rates are uniform across an entire nation.  In other words, subnational differences in fertility or mortality are not taken into consideration except to the extent that one subnational area is smaller or larger in terms of overall absolute population level.
Please enter the source of the information immediately above in this comment box for future reference.  </t>
        </r>
      </text>
    </comment>
    <comment ref="D13" authorId="0" shapeId="0" xr:uid="{00000000-0006-0000-0200-000006000000}">
      <text>
        <r>
          <rPr>
            <b/>
            <sz val="9"/>
            <color indexed="81"/>
            <rFont val="Tahoma"/>
            <family val="2"/>
          </rPr>
          <t>Population per community</t>
        </r>
        <r>
          <rPr>
            <sz val="9"/>
            <color indexed="81"/>
            <rFont val="Tahoma"/>
            <family val="2"/>
          </rPr>
          <t xml:space="preserve">
Source:  </t>
        </r>
        <r>
          <rPr>
            <i/>
            <sz val="9"/>
            <color indexed="81"/>
            <rFont val="Tahoma"/>
            <family val="2"/>
          </rPr>
          <t>Enter source of data or rationale for the number you have entered.</t>
        </r>
        <r>
          <rPr>
            <sz val="9"/>
            <color indexed="81"/>
            <rFont val="Tahoma"/>
            <family val="2"/>
          </rPr>
          <t xml:space="preserve">
Some interventions are implemented at the community level or some subset of a community rather than by household or individual.   Please enter a value here that corresponds to the average number of people who live in a village or in the case of an urban area, a neighborhood or its equivalent.   
On a subsequent tab you will see in the target population column that you have the option to choose “community” as a target population for an intervention.
</t>
        </r>
      </text>
    </comment>
    <comment ref="D14" authorId="0" shapeId="0" xr:uid="{00000000-0006-0000-0200-000007000000}">
      <text>
        <r>
          <rPr>
            <b/>
            <sz val="9"/>
            <color indexed="81"/>
            <rFont val="Tahoma"/>
            <family val="2"/>
          </rPr>
          <t>Population per household</t>
        </r>
        <r>
          <rPr>
            <sz val="9"/>
            <color indexed="81"/>
            <rFont val="Tahoma"/>
            <family val="2"/>
          </rPr>
          <t xml:space="preserve">
Source:  </t>
        </r>
        <r>
          <rPr>
            <i/>
            <sz val="9"/>
            <color indexed="81"/>
            <rFont val="Tahoma"/>
            <family val="2"/>
          </rPr>
          <t>Enter source of data or rationale for the number you have entered.Frequently this is available from a Demographic and Health Survey.</t>
        </r>
        <r>
          <rPr>
            <sz val="9"/>
            <color indexed="81"/>
            <rFont val="Tahoma"/>
            <family val="2"/>
          </rPr>
          <t xml:space="preserve">
Some interventions are implemented at the household level.   Please enter a value here that corresponds to the average number of people who live in a household.   
On a subsequent tab you will see in the target population column that you have the option to choose "household" as a target population for an intervention.
</t>
        </r>
      </text>
    </comment>
    <comment ref="B17" authorId="0" shapeId="0" xr:uid="{00000000-0006-0000-0200-000008000000}">
      <text>
        <r>
          <rPr>
            <b/>
            <sz val="9"/>
            <color indexed="81"/>
            <rFont val="Tahoma"/>
            <family val="2"/>
          </rPr>
          <t xml:space="preserve">Names of Community Health Subprograms
</t>
        </r>
        <r>
          <rPr>
            <sz val="9"/>
            <color indexed="81"/>
            <rFont val="Tahoma"/>
            <family val="2"/>
          </rPr>
          <t xml:space="preserve">To help organize the interventions which will be listed on the next worksheet tab, please enter names of subprograms of the community health program.  Please note that the names do not influence any calculations, but are merely labels.
Any names are okay, but should correspond to areas of work performed by CHWs.  In the tab "2. Interventiond Details", interventions will need to be categorized by subprogram.  Therefore if the subprogram names do not already exist in a plan or policy they should be created to be comprehensive and inclusive enough to allow any and all interventions to be categorized.  Note you may want to create an "All Other" category for anything that does not fit elsewhere.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bwinfrey</author>
  </authors>
  <commentList>
    <comment ref="E1" authorId="0" shapeId="0" xr:uid="{00000000-0006-0000-0300-000001000000}">
      <text>
        <r>
          <rPr>
            <b/>
            <sz val="9"/>
            <color indexed="81"/>
            <rFont val="Tahoma"/>
            <family val="2"/>
          </rPr>
          <t xml:space="preserve">Community Health Worker Entries
</t>
        </r>
        <r>
          <rPr>
            <sz val="9"/>
            <color indexed="81"/>
            <rFont val="Tahoma"/>
            <family val="2"/>
          </rPr>
          <t xml:space="preserve">You may analyze the workload of as many as six different cadres of Community Health Workers.  For each you need to specify a name and details about time use parameters including travel time, time spent on administrative tasks, time spent on campaigns, time spent in training and time spent on community meetings or other events for community mobilization, etc.    
Time spent on service delivery tasks such as antenatal care, sick child visits, etc. are calculated based on detailed calculations and not addressed in this tab.
For each of the time use categories of the CHW you may choose how the C3 tool will calculate the average time that a CHW will spend.  Please look in the comments tab for each of the items to better understand your options.
</t>
        </r>
      </text>
    </comment>
    <comment ref="F3" authorId="0" shapeId="0" xr:uid="{00000000-0006-0000-0300-000002000000}">
      <text>
        <r>
          <rPr>
            <b/>
            <sz val="9"/>
            <color indexed="81"/>
            <rFont val="Tahoma"/>
            <family val="2"/>
          </rPr>
          <t xml:space="preserve">Travel time
</t>
        </r>
        <r>
          <rPr>
            <sz val="9"/>
            <color indexed="81"/>
            <rFont val="Tahoma"/>
            <family val="2"/>
          </rPr>
          <t xml:space="preserve">
Travel time is meant to capture the time that is spent in transit from activity to activity, independent of service delivery. It is understood that the travel times are variable depending on the density of the population, terrain and how the CHW organizes his/her work. An average time needs to be estimated.
You have two choices:
1) Percentage of overall time: an estimate of how much of available work time is spent on travel. Available work time is the number of hours devoted to CHW tasks as defined on the next tab, “Policy Screen.”
2) Travel minutes per service: This should be the average travel time from household to household (if applicable) or other location where services or other activities are carried out.
</t>
        </r>
      </text>
    </comment>
    <comment ref="F4" authorId="0" shapeId="0" xr:uid="{00000000-0006-0000-0300-000003000000}">
      <text>
        <r>
          <rPr>
            <b/>
            <sz val="9"/>
            <color indexed="81"/>
            <rFont val="Tahoma"/>
            <family val="2"/>
          </rPr>
          <t>Administrative tasks</t>
        </r>
        <r>
          <rPr>
            <sz val="9"/>
            <color indexed="81"/>
            <rFont val="Tahoma"/>
            <family val="2"/>
          </rPr>
          <t xml:space="preserve">
Administrative tasks relate to items such as organizing oneself for work, reporting duties, visits to a supervisor or with a supervisor, etc.
The tool allows three options for time spent on administrative tasks:
1) Percentage of overall time available: percentage of time spent on recording, ordering supplies, gathering supplies, meeting with supervisors, monitoring, evaluation, etc.
2) Hours per week: hours spent per week on the activities mentioned above
3) Hours per month: hours spent per month on the activities mentioned above</t>
        </r>
      </text>
    </comment>
    <comment ref="F5" authorId="0" shapeId="0" xr:uid="{00000000-0006-0000-0300-000004000000}">
      <text>
        <r>
          <rPr>
            <b/>
            <sz val="9"/>
            <color indexed="81"/>
            <rFont val="Tahoma"/>
            <family val="2"/>
          </rPr>
          <t xml:space="preserve">Campaigns
</t>
        </r>
        <r>
          <rPr>
            <sz val="9"/>
            <color indexed="81"/>
            <rFont val="Tahoma"/>
            <family val="2"/>
          </rPr>
          <t xml:space="preserve">
Campaigns are typically centrally organized efforts to raise awareness about health issues and promote action. Examples could include immunization week, family planning days, National AIDS Day, etc. CHWs frequently support these efforts. 
Only one option available: number of days per year
</t>
        </r>
      </text>
    </comment>
    <comment ref="F6" authorId="0" shapeId="0" xr:uid="{00000000-0006-0000-0300-000005000000}">
      <text>
        <r>
          <rPr>
            <b/>
            <sz val="9"/>
            <color indexed="81"/>
            <rFont val="Tahoma"/>
            <family val="2"/>
          </rPr>
          <t xml:space="preserve">Training
</t>
        </r>
        <r>
          <rPr>
            <sz val="9"/>
            <color indexed="81"/>
            <rFont val="Tahoma"/>
            <family val="2"/>
          </rPr>
          <t xml:space="preserve">
CHWs are typically required to attend in-service trainings to gain initial skills, learn new skills or reinforce skills that they already have. The user of the C3 Tool needs to make an estimate of the average number of days a CHW spends in training. Pre-service training should not be included in this estimate.
Only one option available: number of days per year
</t>
        </r>
      </text>
    </comment>
    <comment ref="F7" authorId="0" shapeId="0" xr:uid="{00000000-0006-0000-0300-000006000000}">
      <text>
        <r>
          <rPr>
            <b/>
            <sz val="9"/>
            <color indexed="81"/>
            <rFont val="Tahoma"/>
            <family val="2"/>
          </rPr>
          <t>Other recurring meetings or activities not reflected elsewhere</t>
        </r>
        <r>
          <rPr>
            <sz val="9"/>
            <color indexed="81"/>
            <rFont val="Tahoma"/>
            <family val="2"/>
          </rPr>
          <t xml:space="preserve">
This is a "catchall" category for other recurring meetings or activities that need to be factored into the CHWs time.
Please note that the time indicated here should not be duplicative of activities noted on the “Package” tab. This may require judgment about what is appropriate.  
The options include:
1) Days per week: number of days per week spent on the types of activities mentioned above
2) Hours per week: number of hours per week spent on the types of activities mentioned above
3) Days per month: number of days per month spent on the types of activities mentioned above
4) Hours per month: number of hours per month spent on the types of activities mentioned above
5) Percentage of overall time available: percentage of total time available on the types of activities mentioned above
</t>
        </r>
        <r>
          <rPr>
            <b/>
            <sz val="9"/>
            <color indexed="81"/>
            <rFont val="Tahoma"/>
            <family val="2"/>
          </rPr>
          <t xml:space="preserve">
</t>
        </r>
        <r>
          <rPr>
            <sz val="9"/>
            <color indexed="81"/>
            <rFont val="Tahoma"/>
            <family val="2"/>
          </rPr>
          <t xml:space="preserve">[If you wish to change the label for this activity (as it appears on this page and in graph labels elsewhere) advanced users can do so at their own risk by unlocking the page and modifying cells E7 and E16, taking care not to disrupt the formula in E16 before re-locking with the password.]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Morrow, Melanie</author>
    <author>bwinfrey</author>
    <author>Zina Jarrah</author>
    <author>delete</author>
  </authors>
  <commentList>
    <comment ref="C1" authorId="0" shapeId="0" xr:uid="{00000000-0006-0000-0400-000001000000}">
      <text>
        <r>
          <rPr>
            <b/>
            <sz val="9"/>
            <color indexed="81"/>
            <rFont val="Tahoma"/>
            <family val="2"/>
          </rPr>
          <t xml:space="preserve">Warning: Please do not insert or delete rows. </t>
        </r>
        <r>
          <rPr>
            <sz val="9"/>
            <color indexed="81"/>
            <rFont val="Tahoma"/>
            <family val="2"/>
          </rPr>
          <t xml:space="preserve">Doing so will corrupt formulas elswhere in the tool.  
If necessary, it is possible to copy-paste cell content within the </t>
        </r>
        <r>
          <rPr>
            <i/>
            <sz val="9"/>
            <color indexed="81"/>
            <rFont val="Tahoma"/>
            <family val="2"/>
          </rPr>
          <t>existing</t>
        </r>
        <r>
          <rPr>
            <sz val="9"/>
            <color indexed="81"/>
            <rFont val="Tahoma"/>
            <family val="2"/>
          </rPr>
          <t xml:space="preserve"> rows. This is most safely done when the worksheet is password protected to preserve formulas.</t>
        </r>
      </text>
    </comment>
    <comment ref="B2" authorId="1" shapeId="0" xr:uid="{00000000-0006-0000-0400-000002000000}">
      <text>
        <r>
          <rPr>
            <b/>
            <sz val="9"/>
            <color indexed="81"/>
            <rFont val="Tahoma"/>
            <family val="2"/>
          </rPr>
          <t>Intervention details tab</t>
        </r>
        <r>
          <rPr>
            <sz val="9"/>
            <color indexed="81"/>
            <rFont val="Tahoma"/>
            <family val="2"/>
          </rPr>
          <t xml:space="preserve">
The C3 Tool calculates the number of services, visits and overall time needed to deliver the services based upon information in this tab: Target population, Population in Need, Number of Visits and Minutes per Service. The minutes needed to deliver the collection of services is very important in the tool, as it most frequently occupies the largest amount of time for the CHWs and is used in the Policy Interactive Screen to evaluate whether CHWs are potentially over- or underworked, with implications for staffing needs.  
The basic equations that are used are:
     Services = Target Population X Population in Need X Coverage
     Visits = Services X Number of Visits per Service
     Time Needed = Visits X Minutes per Visit
Note that if the minutes per visit option for travel time is chosen in the next tab, travel time is also based on the calculation of visits.
</t>
        </r>
      </text>
    </comment>
    <comment ref="B4" authorId="1" shapeId="0" xr:uid="{00000000-0006-0000-0400-000003000000}">
      <text>
        <r>
          <rPr>
            <b/>
            <sz val="9"/>
            <color indexed="81"/>
            <rFont val="Tahoma"/>
            <family val="2"/>
          </rPr>
          <t xml:space="preserve">Service/intervention
</t>
        </r>
        <r>
          <rPr>
            <sz val="9"/>
            <color indexed="81"/>
            <rFont val="Tahoma"/>
            <family val="2"/>
          </rPr>
          <t xml:space="preserve">In this column, specify a  comprehensive list of interventions that are part of a community health program or are under consideration in the planning process. It is better to  overspecify than to underspecify.
If a service or intervention may be offered by more than one type of CHW, you will want to specify the intervention once for each of the CHW types that may implement it. For example, if a cadre called “Senior CHWs” and another cadre called “Junior CHWs” both may provide condoms in the community, you would specify the intervention twice, each with its own row specific to the CHW cadre that may implement it: 
Male condom provision (Sr. CHW)
Male condom provision (Jr. CHW)
Later, when building scenarios in the Policy Interactive Screen, you will be able to define how intervention coverage will be divided across the CHW cadres.
</t>
        </r>
      </text>
    </comment>
    <comment ref="C4" authorId="1" shapeId="0" xr:uid="{00000000-0006-0000-0400-000004000000}">
      <text>
        <r>
          <rPr>
            <b/>
            <sz val="9"/>
            <color indexed="81"/>
            <rFont val="Tahoma"/>
            <family val="2"/>
          </rPr>
          <t xml:space="preserve">Program
</t>
        </r>
        <r>
          <rPr>
            <sz val="9"/>
            <color indexed="81"/>
            <rFont val="Tahoma"/>
            <family val="2"/>
          </rPr>
          <t xml:space="preserve">
Choose a program from the drop-down list that seems most correct for the intervention.
Note: The choice of program will not impact the overall calculations, only the category totals in the overall summaries.
If you do not like the list of programs, it can be changed in the tab “Program Information.”
</t>
        </r>
      </text>
    </comment>
    <comment ref="D4" authorId="1" shapeId="0" xr:uid="{00000000-0006-0000-0400-000005000000}">
      <text>
        <r>
          <rPr>
            <b/>
            <sz val="9"/>
            <color indexed="81"/>
            <rFont val="Tahoma"/>
            <family val="2"/>
          </rPr>
          <t xml:space="preserve">Target population
</t>
        </r>
        <r>
          <rPr>
            <sz val="9"/>
            <color indexed="81"/>
            <rFont val="Tahoma"/>
            <family val="2"/>
          </rPr>
          <t xml:space="preserve">Choose from drop-down menu to specify the most appropriate population for the activity or intervention. If you do not see a drop0down that looks appropriate, put a comment in column N describing what the target population should be.
Note: Getting this right is very important, as it affects the totals that are calculated as well as the number of CHWs who will be needed.
</t>
        </r>
      </text>
    </comment>
    <comment ref="E4" authorId="1" shapeId="0" xr:uid="{00000000-0006-0000-0400-000006000000}">
      <text>
        <r>
          <rPr>
            <b/>
            <sz val="9"/>
            <color indexed="81"/>
            <rFont val="Tahoma"/>
            <family val="2"/>
          </rPr>
          <t>bwinfrey:</t>
        </r>
        <r>
          <rPr>
            <sz val="9"/>
            <color indexed="81"/>
            <rFont val="Tahoma"/>
            <family val="2"/>
          </rPr>
          <t xml:space="preserve">
Unused  column.
Needed to preserve a lookup function from a previous version of the tool.</t>
        </r>
      </text>
    </comment>
    <comment ref="F4" authorId="1" shapeId="0" xr:uid="{00000000-0006-0000-0400-000007000000}">
      <text>
        <r>
          <rPr>
            <b/>
            <sz val="9"/>
            <color indexed="81"/>
            <rFont val="Tahoma"/>
            <family val="2"/>
          </rPr>
          <t>bwinfrey:</t>
        </r>
        <r>
          <rPr>
            <sz val="9"/>
            <color indexed="81"/>
            <rFont val="Tahoma"/>
            <family val="2"/>
          </rPr>
          <t xml:space="preserve">
Unused  column.
Needed to preserve a lookup function from a previous version of the tool.</t>
        </r>
      </text>
    </comment>
    <comment ref="G4" authorId="2" shapeId="0" xr:uid="{00000000-0006-0000-0400-000008000000}">
      <text>
        <r>
          <rPr>
            <b/>
            <sz val="9"/>
            <color indexed="81"/>
            <rFont val="Tahoma"/>
            <family val="2"/>
          </rPr>
          <t xml:space="preserve">Population in need or incidence rate
</t>
        </r>
        <r>
          <rPr>
            <sz val="9"/>
            <color indexed="81"/>
            <rFont val="Tahoma"/>
            <family val="2"/>
          </rPr>
          <t xml:space="preserve">This reflects the number of services needed, defined as the number of episodes per target population per year.
Example: Diarrhea treatment would be 300% if there are expected to be three cases per child in the course of a year.  
Example: Antenatal care is 100%, as all pregnant women need this intervention.
Note: Getting this right is very important, as it affects the totals that are calculated, including the number of CHWs needed.
</t>
        </r>
      </text>
    </comment>
    <comment ref="H4" authorId="1" shapeId="0" xr:uid="{00000000-0006-0000-0400-000009000000}">
      <text>
        <r>
          <rPr>
            <b/>
            <sz val="9"/>
            <color indexed="81"/>
            <rFont val="Tahoma"/>
            <family val="2"/>
          </rPr>
          <t xml:space="preserve">Number of visits
</t>
        </r>
        <r>
          <rPr>
            <sz val="9"/>
            <color indexed="81"/>
            <rFont val="Tahoma"/>
            <family val="2"/>
          </rPr>
          <t xml:space="preserve">
This is the average number of visits that a CHW will need to make for an episode of the intervention described in column B.  
Note: Getting this right is very important as it affects the totals that are calculated including the number of CHWs needed.
Note: Number of visits is PER CASE when population targets are indicated in column D. Number of visits is PER YEAR when activities are linked to "Community" in column D</t>
        </r>
      </text>
    </comment>
    <comment ref="I4" authorId="1" shapeId="0" xr:uid="{00000000-0006-0000-0400-00000A000000}">
      <text>
        <r>
          <rPr>
            <b/>
            <sz val="9"/>
            <color indexed="81"/>
            <rFont val="Tahoma"/>
            <family val="2"/>
          </rPr>
          <t xml:space="preserve">Minutes per visit
</t>
        </r>
        <r>
          <rPr>
            <sz val="9"/>
            <color indexed="81"/>
            <rFont val="Tahoma"/>
            <family val="2"/>
          </rPr>
          <t xml:space="preserve">
This is the average amount of client contact time needed for a particular visit for the treatment/care of the corresponding intervention in column B. This does not include travel time or administrative time associated with the intervention.  
If an intervention requires several visits that require variable amounts of time, you may consider breaking the intervention up into sub-interventions.
Example 1: If for antenatal care, eight visits are required, but they require different amounts of time, you could break antenatal care into eight separate interventions.  
Example 2: If a particular condition has variable levels of severity requiring different numbers of visits or different amount of time per visit, you might consider breaking it into subinterventions. For example, severe malnutrition versus moderate malnutrition. You would also need to adjust the expected utilization rate.
Note: This column is very important for calculating correctly the totals and the number of CHWs that are needed.</t>
        </r>
      </text>
    </comment>
    <comment ref="J4" authorId="1" shapeId="0" xr:uid="{00000000-0006-0000-0400-00000B000000}">
      <text>
        <r>
          <rPr>
            <b/>
            <sz val="9"/>
            <color indexed="81"/>
            <rFont val="Tahoma"/>
            <family val="2"/>
          </rPr>
          <t>bwinfrey:</t>
        </r>
        <r>
          <rPr>
            <sz val="9"/>
            <color indexed="81"/>
            <rFont val="Tahoma"/>
            <family val="2"/>
          </rPr>
          <t xml:space="preserve">
Unused  column.
Needed to preserve a lookup function from a previous version of the tool.</t>
        </r>
      </text>
    </comment>
    <comment ref="K4" authorId="1" shapeId="0" xr:uid="{00000000-0006-0000-0400-00000C000000}">
      <text>
        <r>
          <rPr>
            <b/>
            <sz val="9"/>
            <color indexed="81"/>
            <rFont val="Tahoma"/>
            <family val="2"/>
          </rPr>
          <t>bwinfrey:</t>
        </r>
        <r>
          <rPr>
            <sz val="9"/>
            <color indexed="81"/>
            <rFont val="Tahoma"/>
            <family val="2"/>
          </rPr>
          <t xml:space="preserve">
Unused  column.
Needed to preserve a lookup function from a previous version of the tool.</t>
        </r>
      </text>
    </comment>
    <comment ref="L4" authorId="1" shapeId="0" xr:uid="{00000000-0006-0000-0400-00000D000000}">
      <text>
        <r>
          <rPr>
            <b/>
            <sz val="9"/>
            <color indexed="81"/>
            <rFont val="Tahoma"/>
            <family val="2"/>
          </rPr>
          <t>bwinfrey:</t>
        </r>
        <r>
          <rPr>
            <sz val="9"/>
            <color indexed="81"/>
            <rFont val="Tahoma"/>
            <family val="2"/>
          </rPr>
          <t xml:space="preserve">
Unused  column.
Needed to preserve a lookup function from a previous version of the tool.</t>
        </r>
      </text>
    </comment>
    <comment ref="M4" authorId="1" shapeId="0" xr:uid="{00000000-0006-0000-0400-00000E000000}">
      <text>
        <r>
          <rPr>
            <b/>
            <sz val="9"/>
            <color indexed="81"/>
            <rFont val="Tahoma"/>
            <family val="2"/>
          </rPr>
          <t>bwinfrey:</t>
        </r>
        <r>
          <rPr>
            <sz val="9"/>
            <color indexed="81"/>
            <rFont val="Tahoma"/>
            <family val="2"/>
          </rPr>
          <t xml:space="preserve">
Unused  column.
Needed to preserve a lookup function from a previous version of the tool.</t>
        </r>
      </text>
    </comment>
    <comment ref="N4" authorId="1" shapeId="0" xr:uid="{00000000-0006-0000-0400-00000F000000}">
      <text>
        <r>
          <rPr>
            <b/>
            <sz val="9"/>
            <color indexed="81"/>
            <rFont val="Tahoma"/>
            <family val="2"/>
          </rPr>
          <t>bwinfrey:</t>
        </r>
        <r>
          <rPr>
            <sz val="9"/>
            <color indexed="81"/>
            <rFont val="Tahoma"/>
            <family val="2"/>
          </rPr>
          <t xml:space="preserve">
These cells do not impact calculations.  However they are very important for noting sources of data, rationales for choosing a target population, value for population in need, numbers of visits or time per visit.  This cell will be particularly helpful when you are validating inputs with other members of your team.  
Feel free also to insert comments into the cells to fully explain your assumptions if the provided cell is not large enough.</t>
        </r>
      </text>
    </comment>
    <comment ref="H50" authorId="3" shapeId="0" xr:uid="{00000000-0006-0000-0400-000010000000}">
      <text>
        <r>
          <rPr>
            <b/>
            <sz val="9"/>
            <color indexed="81"/>
            <rFont val="Tahoma"/>
            <family val="2"/>
          </rPr>
          <t>for "community" level activities, the number of visits is per year</t>
        </r>
      </text>
    </comment>
    <comment ref="H60" authorId="0" shapeId="0" xr:uid="{00000000-0006-0000-0400-000011000000}">
      <text>
        <r>
          <rPr>
            <sz val="9"/>
            <color indexed="81"/>
            <rFont val="Tahoma"/>
            <family val="2"/>
          </rPr>
          <t xml:space="preserve">For activities that take place weekly, 52 may be an overestimate due to holidays, etc.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bwinfrey</author>
    <author>delete</author>
    <author>Zina Jarrah</author>
  </authors>
  <commentList>
    <comment ref="A1" authorId="0" shapeId="0" xr:uid="{00000000-0006-0000-0600-000001000000}">
      <text>
        <r>
          <rPr>
            <b/>
            <sz val="9"/>
            <color indexed="81"/>
            <rFont val="Tahoma"/>
            <family val="2"/>
          </rPr>
          <t>Policy Interactive Screen</t>
        </r>
        <r>
          <rPr>
            <sz val="9"/>
            <color indexed="81"/>
            <rFont val="Tahoma"/>
            <family val="2"/>
          </rPr>
          <t xml:space="preserve">
This policy interactive screen has several options for analysis: adjusting the amount of time that a CHW will work, the size of the population that each CHW will serve, what cadre will provide a service and the percentage of the needed services that will be provided by the CHW.
Step 1: Provide names for as many as three alternative scenarios in cells D3, G3 and J3.  You may then design scenarios that alter various policy variables defined below. Immediately below these cells you may provide fuller descriptions of the scenarios.  See comments at cells D3, G3 and J3.
Step 2: Enter a value for a targeted population size per CHW for each cadre. See comments at cells D5, G5 and J5.
Step 3: Define the amount of time that a CHW will work via number of weeks per year worked and hours per week. See comments at cells E5, H5 and K5.
Step 4: For each intervention/activity choose which cadre will provide the service and the percent of the overall need that will be met by the cadre.  Note that the percent of the overall need that is not met by the cadre might be picked up by another cadre (if you have defined the intervention such that two or more cadre can provide the service) or by service delivery that is not community based (e.g., outreach or facility). See comments at cells D13, G13 and J13.
Step 5: Analyze the alternatives via the graphs and table at the right.  See graph and table comments for more information.
Note:  If changes are made to the prior screens be sure that corresponding updates get made to this screen as well.  For example, if changes are made to the names of CHW cadres on the CHW Input sheet, it will be necessary to reassign the provider on this screen with the new name.  And/or, if content is moved on the Intervention Details sheet after having allocated activities in the policy scenarios on this page,  content will need to re-entered here so that it aligns correctly with the auto-populated activity descriptions in the lefthand column.
</t>
        </r>
      </text>
    </comment>
    <comment ref="D3" authorId="0" shapeId="0" xr:uid="{00000000-0006-0000-0600-000002000000}">
      <text>
        <r>
          <rPr>
            <b/>
            <sz val="9"/>
            <color indexed="81"/>
            <rFont val="Tahoma"/>
            <family val="2"/>
          </rPr>
          <t xml:space="preserve">Naming scenarios
</t>
        </r>
        <r>
          <rPr>
            <sz val="9"/>
            <color indexed="81"/>
            <rFont val="Tahoma"/>
            <family val="2"/>
          </rPr>
          <t xml:space="preserve">Please provide a name for as many as three scenarios.  It is best to provide a name that is descriptive and short, such as “Current situation,” “2x as many CHWs," “50% coverage of less essential services,” etc.  
Immediately below the cells with names, you may provide fuller descriptions of the scenarios.  For example, if you had a “Current situation” scenario, you might write, “Scenario based on data drawn from current policy and recent CHW evaluation report.”
</t>
        </r>
        <r>
          <rPr>
            <b/>
            <sz val="9"/>
            <color indexed="81"/>
            <rFont val="Tahoma"/>
            <family val="2"/>
          </rPr>
          <t xml:space="preserve">
</t>
        </r>
        <r>
          <rPr>
            <sz val="9"/>
            <color indexed="81"/>
            <rFont val="Tahoma"/>
            <family val="2"/>
          </rPr>
          <t xml:space="preserve">
</t>
        </r>
      </text>
    </comment>
    <comment ref="G3" authorId="0" shapeId="0" xr:uid="{00000000-0006-0000-0600-000003000000}">
      <text>
        <r>
          <rPr>
            <b/>
            <sz val="9"/>
            <color indexed="81"/>
            <rFont val="Tahoma"/>
            <family val="2"/>
          </rPr>
          <t xml:space="preserve">Naming scenarios
</t>
        </r>
        <r>
          <rPr>
            <sz val="9"/>
            <color indexed="81"/>
            <rFont val="Tahoma"/>
            <family val="2"/>
          </rPr>
          <t>Please provide a name for as many as three scenarios.  It is best to provide a name which is descriptive and short, such as “Current situation,” “2x as many CHWs," “50% coverage of less essential services,” etc.  
Immediately below the cells with names, you may provide fuller  descriptions of the scenarios.For example, if you had a “Current situation” scenario, you might write, “Scenario based on data drawn from current policy and recent CHW evaluation report.”</t>
        </r>
      </text>
    </comment>
    <comment ref="J3" authorId="0" shapeId="0" xr:uid="{00000000-0006-0000-0600-000004000000}">
      <text>
        <r>
          <rPr>
            <b/>
            <sz val="9"/>
            <color indexed="81"/>
            <rFont val="Tahoma"/>
            <family val="2"/>
          </rPr>
          <t xml:space="preserve">Naming scenarios
</t>
        </r>
        <r>
          <rPr>
            <sz val="9"/>
            <color indexed="81"/>
            <rFont val="Tahoma"/>
            <family val="2"/>
          </rPr>
          <t>Please provide a name for as many as three scenarios.  It is best to provide a name which is descriptive and short, such as “Current situation,” “2x as many CHWs," “50% coverage of less essential services,” etc.  
Immediately below the cells with names, you may provide fuller  descriptions of the scenarios.For example, if you had a “Current situation” scenario, you might write, “Scenario based on data drawn from current policy and recent CHW evaluation report.”</t>
        </r>
      </text>
    </comment>
    <comment ref="P3" authorId="0" shapeId="0" xr:uid="{00000000-0006-0000-0600-000005000000}">
      <text>
        <r>
          <rPr>
            <b/>
            <sz val="9"/>
            <color indexed="81"/>
            <rFont val="Tahoma"/>
            <family val="2"/>
          </rPr>
          <t xml:space="preserve">Percentage of available time occupied by all activities
</t>
        </r>
        <r>
          <rPr>
            <sz val="9"/>
            <color indexed="81"/>
            <rFont val="Tahoma"/>
            <family val="2"/>
          </rPr>
          <t xml:space="preserve">
This is time needed to perform all of the covered services relative to the time available by the targeted number of CHWs. 100% means that CHWs’ time is completely occupied with the services. If it were 50%, it would mean that they had 50% ideal time. 200% would mean that we are asking to do twice as much work as they have time available to do the tasks.
Note that this is all on average. Given disparities in population densities, there will be considerable variation across individuals.
Note that this graph is more or less the inverse of the graph at the right (i.e., one of these graphs always exceeds 100%).</t>
        </r>
        <r>
          <rPr>
            <b/>
            <sz val="9"/>
            <color indexed="81"/>
            <rFont val="Tahoma"/>
            <family val="2"/>
          </rPr>
          <t xml:space="preserve">
</t>
        </r>
        <r>
          <rPr>
            <sz val="9"/>
            <color indexed="81"/>
            <rFont val="Tahoma"/>
            <family val="2"/>
          </rPr>
          <t xml:space="preserve">
</t>
        </r>
      </text>
    </comment>
    <comment ref="Y3" authorId="0" shapeId="0" xr:uid="{00000000-0006-0000-0600-000006000000}">
      <text>
        <r>
          <rPr>
            <b/>
            <sz val="9"/>
            <color indexed="81"/>
            <rFont val="Tahoma"/>
            <family val="2"/>
          </rPr>
          <t xml:space="preserve">Percentage of planned activities that can be implemented with available/planned CHWs
</t>
        </r>
        <r>
          <rPr>
            <sz val="9"/>
            <color indexed="81"/>
            <rFont val="Tahoma"/>
            <family val="2"/>
          </rPr>
          <t>This is the percentage of planned activities that could be implemented with the number of CHWs indicated or implied by the CHW assumptions. This is a rough percentage, as it does not create a hierarchy among the activities envisioned. For example, if the graph says 25% of the activities can be implemented, that means 25% of the training, 25% of the community activities, 25% of other services, etc.
If the percentage exceeds 100% ,it means that the CHW type has excess capacity.
Note that this graph is more or less the inverse of the graph at the left (i.e., one of these graphs always exceeds 100%).</t>
        </r>
        <r>
          <rPr>
            <b/>
            <sz val="9"/>
            <color indexed="81"/>
            <rFont val="Tahoma"/>
            <family val="2"/>
          </rPr>
          <t xml:space="preserve">
</t>
        </r>
      </text>
    </comment>
    <comment ref="AG3" authorId="0" shapeId="0" xr:uid="{00000000-0006-0000-0600-000007000000}">
      <text>
        <r>
          <rPr>
            <b/>
            <sz val="9"/>
            <color indexed="81"/>
            <rFont val="Tahoma"/>
            <family val="2"/>
          </rPr>
          <t xml:space="preserve">Theoretically ideal number of CHWs
</t>
        </r>
        <r>
          <rPr>
            <sz val="9"/>
            <color indexed="81"/>
            <rFont val="Tahoma"/>
            <family val="2"/>
          </rPr>
          <t xml:space="preserve">Based upon the time availability of the CHW, degree of implementation of the activities and assumptions built into the CHW time allocation for administration, training, etc., this graphic shows the number of CHWs that would be necessary. It is only a rough measure, as it is impossible to evenly distribute CHWs across villages, communities and neighborhoods that vary greatly in size.
</t>
        </r>
      </text>
    </comment>
    <comment ref="D5" authorId="0" shapeId="0" xr:uid="{00000000-0006-0000-0600-000008000000}">
      <text>
        <r>
          <rPr>
            <sz val="9"/>
            <color indexed="81"/>
            <rFont val="Tahoma"/>
            <family val="2"/>
          </rPr>
          <t>Depending on the choice you made on the “Program Information” tab, you will see one of two things for this group of cells: “Population per CHW” or “Number of CHWs available.”</t>
        </r>
        <r>
          <rPr>
            <b/>
            <sz val="9"/>
            <color indexed="81"/>
            <rFont val="Tahoma"/>
            <family val="2"/>
          </rPr>
          <t xml:space="preserve">
Population per CHW</t>
        </r>
        <r>
          <rPr>
            <sz val="9"/>
            <color indexed="81"/>
            <rFont val="Tahoma"/>
            <family val="2"/>
          </rPr>
          <t xml:space="preserve">
Please enter an expectation or estimate of, on average, how many people a particular cadre of CHW will serve. This should be expressed relative to the overall population, as the tool already takes into account the target subpopulations in need as defined in the “Intervention Details” sheet (e.g., pregnant women for ANC, children 2–59 months for iCCM, as appropriate).   
If  a CHW is expected to serve a single village, you could enter the average size of a village. You may alter this across scenarios. For example, you might want to test out the assumption of having two or more CHWs per village. In the case of two CHWs per village, decrease the population per CHW by 50% relative to the scenario with one CHW per village.
</t>
        </r>
        <r>
          <rPr>
            <b/>
            <sz val="9"/>
            <color indexed="81"/>
            <rFont val="Tahoma"/>
            <family val="2"/>
          </rPr>
          <t xml:space="preserve">Number of CHWs available
</t>
        </r>
        <r>
          <rPr>
            <sz val="9"/>
            <color indexed="81"/>
            <rFont val="Tahoma"/>
            <family val="2"/>
          </rPr>
          <t xml:space="preserve">
Please enter the number of CHWs that are available to offer services. This number may come from several possible sources. It could be a known number of CHWs who are available, a number of CHWs in a plan or policy, a number of CHWs dictated by a budget constraint, etc. Across scenarios, you could assess the impact on workload of increasing or decreasing the planned number of CHWs.</t>
        </r>
      </text>
    </comment>
    <comment ref="E5" authorId="0" shapeId="0" xr:uid="{00000000-0006-0000-0600-000009000000}">
      <text>
        <r>
          <rPr>
            <b/>
            <sz val="9"/>
            <color indexed="81"/>
            <rFont val="Tahoma"/>
            <family val="2"/>
          </rPr>
          <t>Time worked per CHW</t>
        </r>
        <r>
          <rPr>
            <sz val="9"/>
            <color indexed="81"/>
            <rFont val="Tahoma"/>
            <family val="2"/>
          </rPr>
          <t xml:space="preserve">
You are able to adjust the time worked by CHWs across two axes: weeks worked per year and hours worked per week. For a baseline or “current situation” scenario, this could be drawn from an official policy or evaluation report.  
To analyze alternative scenarios, you could increase the time worked to reflect improved remuneration or other things that might increase or decrease the number of weeks worked per year.</t>
        </r>
      </text>
    </comment>
    <comment ref="F5" authorId="0" shapeId="0" xr:uid="{00000000-0006-0000-0600-00000A000000}">
      <text>
        <r>
          <rPr>
            <b/>
            <sz val="9"/>
            <color indexed="81"/>
            <rFont val="Tahoma"/>
            <family val="2"/>
          </rPr>
          <t>Time worked per CHW</t>
        </r>
        <r>
          <rPr>
            <sz val="9"/>
            <color indexed="81"/>
            <rFont val="Tahoma"/>
            <family val="2"/>
          </rPr>
          <t xml:space="preserve">
You are able to adjust the time worked by CHWs across two axes: weeks worked per year and hours worked per week. For a baseline or “current situation” scenario, you might draw this from an official policy or evaluation report.  
To analyze alternative scenarios, you might want to increase the time worked to reflect improved remuneration or other factors that might increase or decrease the time CHWs are able to dedicate to CHW activities.
</t>
        </r>
      </text>
    </comment>
    <comment ref="G5" authorId="0" shapeId="0" xr:uid="{00000000-0006-0000-0600-00000B000000}">
      <text>
        <r>
          <rPr>
            <sz val="9"/>
            <color indexed="81"/>
            <rFont val="Tahoma"/>
            <family val="2"/>
          </rPr>
          <t xml:space="preserve">Depending on the choice you made on the "Program Information" tab you will see one of two things for this group of cells "Population per CHW" or "Number of CHWs available".
</t>
        </r>
        <r>
          <rPr>
            <b/>
            <sz val="9"/>
            <color indexed="81"/>
            <rFont val="Tahoma"/>
            <family val="2"/>
          </rPr>
          <t>Population per CHW</t>
        </r>
        <r>
          <rPr>
            <sz val="9"/>
            <color indexed="81"/>
            <rFont val="Tahoma"/>
            <family val="2"/>
          </rPr>
          <t xml:space="preserve">
Please enter an expectation or estimate of, on average, how many people a particular cadre of CHW will serve. This should be expressed relative to the overall population, as the tool already takes into account the target sub-populations in need as defined in the “Intervention Details” sheet (e.g pregnant women for ANC, and children 2-59 months for iCCM, etc. as appropriate.)   
If  a CHW is expected to serve a single village, you could enter the average size of a village.  You may alter this across scenarios.  For example you might want to test out the assumption of having two or more CHWs per village.  In the case of two CHWs per village, decrease the population per CHW by 50% relative to the scenario with one CHW per village.
</t>
        </r>
        <r>
          <rPr>
            <b/>
            <sz val="9"/>
            <color indexed="81"/>
            <rFont val="Tahoma"/>
            <family val="2"/>
          </rPr>
          <t>Number of CHWs available</t>
        </r>
        <r>
          <rPr>
            <sz val="9"/>
            <color indexed="81"/>
            <rFont val="Tahoma"/>
            <family val="2"/>
          </rPr>
          <t xml:space="preserve">
Please enter the number of CHWs that are available to offer services.  This number may come from several possible sources. It could be a known number of CHWs that are available, a number of CHWs in a plan or policy, a number of CHWs dictated by a budget constraint, etc.  Across scenarios you could assess the impact on workload of increasing or decreasing the planned number of CHWs.</t>
        </r>
      </text>
    </comment>
    <comment ref="H5" authorId="0" shapeId="0" xr:uid="{00000000-0006-0000-0600-00000C000000}">
      <text>
        <r>
          <rPr>
            <b/>
            <sz val="9"/>
            <color indexed="81"/>
            <rFont val="Tahoma"/>
            <family val="2"/>
          </rPr>
          <t>Time worked per CHW</t>
        </r>
        <r>
          <rPr>
            <sz val="9"/>
            <color indexed="81"/>
            <rFont val="Tahoma"/>
            <family val="2"/>
          </rPr>
          <t xml:space="preserve">
You are able to adjust the time worked by CHWs across two axes: weeks worked per year and hours worked per week. For a baseline or “current situation” scenario, this could be drawn from an official policy or evaluation report.  
To analyze alternative scenarios, you could increase the time worked to reflect improved remuneration or other things that might increase or decrease the number of weeks worked per year.</t>
        </r>
      </text>
    </comment>
    <comment ref="I5" authorId="0" shapeId="0" xr:uid="{00000000-0006-0000-0600-00000D000000}">
      <text>
        <r>
          <rPr>
            <b/>
            <sz val="9"/>
            <color indexed="81"/>
            <rFont val="Tahoma"/>
            <family val="2"/>
          </rPr>
          <t>Time worked per CHW</t>
        </r>
        <r>
          <rPr>
            <sz val="9"/>
            <color indexed="81"/>
            <rFont val="Tahoma"/>
            <family val="2"/>
          </rPr>
          <t xml:space="preserve">
You are able to adjust the time worked by CHWs across two axes: weeks worked per year and hours worked per week. For a baseline or “current situation” scenario, you might draw this from an official policy or evaluation report.  
To analyze alternative scenarios, you might want to increase the time worked to reflect improved remuneration or other factors that might increase or decrease the time CHWs are able to dedicate to CHW activities.
</t>
        </r>
      </text>
    </comment>
    <comment ref="J5" authorId="0" shapeId="0" xr:uid="{00000000-0006-0000-0600-00000E000000}">
      <text>
        <r>
          <rPr>
            <sz val="9"/>
            <color indexed="81"/>
            <rFont val="Tahoma"/>
            <family val="2"/>
          </rPr>
          <t xml:space="preserve">Depending on the choice you made on the "Program Information" tab you will see one of two things for this group of cells "Population per CHW" or "Number of CHWs available".
</t>
        </r>
        <r>
          <rPr>
            <b/>
            <sz val="9"/>
            <color indexed="81"/>
            <rFont val="Tahoma"/>
            <family val="2"/>
          </rPr>
          <t>Population per CHW</t>
        </r>
        <r>
          <rPr>
            <sz val="9"/>
            <color indexed="81"/>
            <rFont val="Tahoma"/>
            <family val="2"/>
          </rPr>
          <t xml:space="preserve">
Please enter an expectation or estimate of, on average, how many people a particular cadre of CHW will serve. This should be expressed relative to the overall population, as the tool already takes into account the target sub-populations in need as defined in the “Intervention Details” sheet (e.g pregnant women for ANC, and children 2-59 months for iCCM, etc. as appropriate.)   
If  a CHW is expected to serve a single village, you could enter the average size of a village.  You may alter this across scenarios.  For example you might want to test out the assumption of having two or more CHWs per village.  In the case of two CHWs per village, decrease the population per CHW by 50% relative to the scenario with one CHW per village.
</t>
        </r>
        <r>
          <rPr>
            <b/>
            <sz val="9"/>
            <color indexed="81"/>
            <rFont val="Tahoma"/>
            <family val="2"/>
          </rPr>
          <t xml:space="preserve">
Number of CHWs available
</t>
        </r>
        <r>
          <rPr>
            <sz val="9"/>
            <color indexed="81"/>
            <rFont val="Tahoma"/>
            <family val="2"/>
          </rPr>
          <t xml:space="preserve">
Please enter the number of CHWs that are available to offer services.  This number may come from several possible sources. It could be a known number of CHWs that are available, a number of CHWs in a plan or policy, a number of CHWs dictated by a budget constraint, etc.  Across scenarios you could assess the impact on workload of increasing or decreasing the planned number of CHWs.</t>
        </r>
      </text>
    </comment>
    <comment ref="K5" authorId="0" shapeId="0" xr:uid="{00000000-0006-0000-0600-00000F000000}">
      <text>
        <r>
          <rPr>
            <b/>
            <sz val="9"/>
            <color indexed="81"/>
            <rFont val="Tahoma"/>
            <family val="2"/>
          </rPr>
          <t>Time worked per CHW</t>
        </r>
        <r>
          <rPr>
            <sz val="9"/>
            <color indexed="81"/>
            <rFont val="Tahoma"/>
            <family val="2"/>
          </rPr>
          <t xml:space="preserve">
You are able to adjust the time worked by CHWs across two axes: weeks worked per year and hours worked per week. For a baseline or “current situation” scenario, this could be drawn from an official policy or evaluation report.  
To analyze alternative scenarios, you could increase the time worked to reflect improved remuneration or other things that might increase or decrease the number of weeks worked per year.</t>
        </r>
      </text>
    </comment>
    <comment ref="L5" authorId="0" shapeId="0" xr:uid="{00000000-0006-0000-0600-000010000000}">
      <text>
        <r>
          <rPr>
            <b/>
            <sz val="9"/>
            <color indexed="81"/>
            <rFont val="Tahoma"/>
            <family val="2"/>
          </rPr>
          <t xml:space="preserve">Time worked per CHW
</t>
        </r>
        <r>
          <rPr>
            <sz val="9"/>
            <color indexed="81"/>
            <rFont val="Tahoma"/>
            <family val="2"/>
          </rPr>
          <t>You are able to adjust the time worked by CHWs across two axes: weeks worked per year and hours worked per week. For a baseline or “current situation” scenario, you might draw this from an official policy or evaluation report.  
To analyze alternative scenarios, you might want to increase the time worked to reflect improved remuneration or other factors that might increase or decrease the time CHWs are able to dedicate to CHW activities.</t>
        </r>
      </text>
    </comment>
    <comment ref="D14" authorId="0" shapeId="0" xr:uid="{00000000-0006-0000-0600-000011000000}">
      <text>
        <r>
          <rPr>
            <b/>
            <sz val="9"/>
            <color indexed="81"/>
            <rFont val="Tahoma"/>
            <family val="2"/>
          </rPr>
          <t xml:space="preserve">% planned activity implemented
</t>
        </r>
        <r>
          <rPr>
            <sz val="9"/>
            <color indexed="81"/>
            <rFont val="Tahoma"/>
            <family val="2"/>
          </rPr>
          <t xml:space="preserve">In this column, you are able to alter the level of coverage to be provided by the designated cadre of CHW selected from the drop-down menu in the “provider” column immediately to the right.   
If the percentage is less than 100, then you are implicitly assuming that another cadre of CHW will meet some or all of the need, that the service is offered elsewhere (e.g., via outreach or at a facility), or that there will be unmet need for the service.
To distribute the task across more than one cadre of CHW, define the intervention twice in separate lines, once for each cadre that could provide the service. Then, assign the coverage accordingly so that the sum across cadres does not exceed 100% (or whatever the desired coverage is, keeping in mind services that may be provided through means other than CHWs).  
If you wish to analyze the workload implication of not providing a particular service by CHW, enter “0.”
</t>
        </r>
      </text>
    </comment>
    <comment ref="G14" authorId="0" shapeId="0" xr:uid="{00000000-0006-0000-0600-000012000000}">
      <text>
        <r>
          <rPr>
            <b/>
            <sz val="9"/>
            <color indexed="81"/>
            <rFont val="Tahoma"/>
            <family val="2"/>
          </rPr>
          <t xml:space="preserve">% planned activity implemented
</t>
        </r>
        <r>
          <rPr>
            <sz val="9"/>
            <color indexed="81"/>
            <rFont val="Tahoma"/>
            <family val="2"/>
          </rPr>
          <t xml:space="preserve">In this column, you are able to alter the level of coverage to be provided by the designated cadre of CHW selected from the drop-down menu in the “provider” column immediately to the right.   
If the percentage is less than 100, then you are implicitly assuming that another cadre of CHW will meet some or all of the need, that the service is offered elsewhere (e.g., via outreach or at a facility), or that there will be unmet need for the service.
To distribute the task across more than one cadre of CHW, define the intervention twice in separate lines, once for each cadre that could provide the service. Then, assign the coverage accordingly so that the sum across cadres does not exceed 100% (or whatever the desired coverage is, keeping in mind services that may be provided through means other than CHWs).  
If you wish to analyze the workload implication of not providing a particular service by CHW, enter “0.”
</t>
        </r>
      </text>
    </comment>
    <comment ref="J14" authorId="0" shapeId="0" xr:uid="{00000000-0006-0000-0600-000013000000}">
      <text>
        <r>
          <rPr>
            <b/>
            <sz val="9"/>
            <color indexed="81"/>
            <rFont val="Tahoma"/>
            <family val="2"/>
          </rPr>
          <t xml:space="preserve">% planned activity implemented
</t>
        </r>
        <r>
          <rPr>
            <sz val="9"/>
            <color indexed="81"/>
            <rFont val="Tahoma"/>
            <family val="2"/>
          </rPr>
          <t>In this column, you are able to alter the level of coverage to be provided by the designated cadre of CHW selected from the drop-down menu in the “provider” column immediately to the right.   
If the percentage is less than 100, then you are implicitly assuming that another cadre of CHW will meet some or all of the need, that the service is offered elsewhere (e.g., via outreach or at a facility), or that there will be unmet need for the service.
To distribute the task across more than one cadre of CHW, define the intervention twice in separate lines, once for each cadre that could provide the service. Then, assign the coverage accordingly so that the sum across cadres does not exceed 100% (or whatever the desired coverage is, keeping in mind services that may be provided through means other than CHWs).  
If you wish to analyze the workload implication of not providing a particular service by CHW, enter “0.”</t>
        </r>
        <r>
          <rPr>
            <b/>
            <sz val="9"/>
            <color indexed="81"/>
            <rFont val="Tahoma"/>
            <family val="2"/>
          </rPr>
          <t xml:space="preserve">
</t>
        </r>
      </text>
    </comment>
    <comment ref="D15" authorId="1" shapeId="0" xr:uid="{00000000-0006-0000-0600-000014000000}">
      <text>
        <r>
          <rPr>
            <b/>
            <sz val="9"/>
            <color indexed="81"/>
            <rFont val="Tahoma"/>
            <family val="2"/>
          </rPr>
          <t>10% of services are covered at facility. The other 90 are split between CHWs</t>
        </r>
      </text>
    </comment>
    <comment ref="P21" authorId="0" shapeId="0" xr:uid="{00000000-0006-0000-0600-000015000000}">
      <text>
        <r>
          <rPr>
            <b/>
            <sz val="9"/>
            <color indexed="81"/>
            <rFont val="Tahoma"/>
            <family val="2"/>
          </rPr>
          <t xml:space="preserve">Intervention and activity analysis
</t>
        </r>
        <r>
          <rPr>
            <sz val="9"/>
            <color indexed="81"/>
            <rFont val="Tahoma"/>
            <family val="2"/>
          </rPr>
          <t xml:space="preserve">The tables and graphs below allow you to analyze which interventions and activities occupy the most time of a particular CHW cadre under a particular scenario. In the light blue cells, you may choose the cadre and the scenario for which you would like to see results. The comments for the table and the graph more fully describe the results for each.
</t>
        </r>
      </text>
    </comment>
    <comment ref="P25" authorId="0" shapeId="0" xr:uid="{00000000-0006-0000-0600-000016000000}">
      <text>
        <r>
          <rPr>
            <sz val="9"/>
            <color indexed="81"/>
            <rFont val="Tahoma"/>
            <family val="2"/>
          </rPr>
          <t xml:space="preserve">This is a list of interventions ranked by the number of minutes per year required to carry them out according to the service standards specified on the Package tab. Please note that this list does not include the nonservice delivery activities (e.g., travel time, training) that may occupy large amounts of a CHW’s time. Refer to the pie chart at the right for a reflection of broader activities. The segment called “Service Delivery” in the pie chart corresponds to the activities listed here, plus the service delivery activities that are not in the top 10.
Double-checking data: 
If a particular intervention is unexpectedly highly ranked, check the Package tab and assure that the assumptions used to describe the target population, population in need, number of visits and minutes per visit reflect the reality of how the service is offered. The same should be done if you believe that an intervention should be on the top 10 list but does not appear.
</t>
        </r>
      </text>
    </comment>
    <comment ref="Y25" authorId="0" shapeId="0" xr:uid="{00000000-0006-0000-0600-000017000000}">
      <text>
        <r>
          <rPr>
            <b/>
            <sz val="9"/>
            <color indexed="81"/>
            <rFont val="Tahoma"/>
            <family val="2"/>
          </rPr>
          <t>Distribution of time across activity types</t>
        </r>
        <r>
          <rPr>
            <sz val="9"/>
            <color indexed="81"/>
            <rFont val="Tahoma"/>
            <family val="2"/>
          </rPr>
          <t xml:space="preserve">
This pie chart shows the estimated breakdown of an average CHW’s time across all tasks. It corresponds to the CHW cadre and scenario selected in the drop-down boxes for the chart. 
Note that if CHWs are underutilized, the pie chart does not reflect idle time. It only shows how they use their time on CHW-related tasks. Conversely, if the CHWs are overburdened, the pie chart reflects the relative time spent across activities, assuming that time spent on categories of activities are proportionately scaled down to adapt to the time actually available.</t>
        </r>
      </text>
    </comment>
    <comment ref="R75" authorId="2" shapeId="0" xr:uid="{00000000-0006-0000-0600-000018000000}">
      <text>
        <r>
          <rPr>
            <b/>
            <sz val="9"/>
            <color indexed="81"/>
            <rFont val="Tahoma"/>
            <family val="2"/>
          </rPr>
          <t xml:space="preserve">Total Cost per Capita (total population): 
</t>
        </r>
        <r>
          <rPr>
            <sz val="9"/>
            <color indexed="81"/>
            <rFont val="Tahoma"/>
            <family val="2"/>
          </rPr>
          <t>Total Program Costs (start-up + recurrent) / Total National or sub-national population</t>
        </r>
        <r>
          <rPr>
            <b/>
            <sz val="9"/>
            <color indexed="81"/>
            <rFont val="Tahoma"/>
            <family val="2"/>
          </rPr>
          <t xml:space="preserve">
Recurrent Cost per Capita (total population):
</t>
        </r>
        <r>
          <rPr>
            <sz val="9"/>
            <color indexed="81"/>
            <rFont val="Tahoma"/>
            <family val="2"/>
          </rPr>
          <t>Total Recurrent Program Costs / Total National or sub-national population</t>
        </r>
        <r>
          <rPr>
            <b/>
            <sz val="9"/>
            <color indexed="81"/>
            <rFont val="Tahoma"/>
            <family val="2"/>
          </rPr>
          <t xml:space="preserve">
Additional Cost per Capita (total population):
</t>
        </r>
        <r>
          <rPr>
            <sz val="9"/>
            <color indexed="81"/>
            <rFont val="Tahoma"/>
            <family val="2"/>
          </rPr>
          <t>Total Additional Program Costs (those costs incurred directly by the Community Health Program, and which are not covered through other budgets) / Total National or sub-national population</t>
        </r>
        <r>
          <rPr>
            <b/>
            <sz val="9"/>
            <color indexed="81"/>
            <rFont val="Tahoma"/>
            <family val="2"/>
          </rPr>
          <t xml:space="preserve">
Total Cost per Capita (population covered): 
</t>
        </r>
        <r>
          <rPr>
            <sz val="9"/>
            <color indexed="81"/>
            <rFont val="Tahoma"/>
            <family val="2"/>
          </rPr>
          <t>Total Program Costs (start-up + recurrent) / Population covered by CHW program</t>
        </r>
        <r>
          <rPr>
            <b/>
            <sz val="9"/>
            <color indexed="81"/>
            <rFont val="Tahoma"/>
            <family val="2"/>
          </rPr>
          <t xml:space="preserve">
Recurrent Cost per Capita (population covered):
</t>
        </r>
        <r>
          <rPr>
            <sz val="9"/>
            <color indexed="81"/>
            <rFont val="Tahoma"/>
            <family val="2"/>
          </rPr>
          <t>Total Recurrent Program Costs / Population covered by CHW program</t>
        </r>
        <r>
          <rPr>
            <b/>
            <sz val="9"/>
            <color indexed="81"/>
            <rFont val="Tahoma"/>
            <family val="2"/>
          </rPr>
          <t xml:space="preserve">
Additional Cost per Capita (population covered):
</t>
        </r>
        <r>
          <rPr>
            <sz val="9"/>
            <color indexed="81"/>
            <rFont val="Tahoma"/>
            <family val="2"/>
          </rPr>
          <t>Total Additional Program Costs (those costs incurred directly by the Community Health Program, and which are not covered through other budgets) / Population covered by CHW program</t>
        </r>
        <r>
          <rPr>
            <b/>
            <sz val="9"/>
            <color indexed="81"/>
            <rFont val="Tahoma"/>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Ibe, Ochi</author>
    <author>Morrow, Melanie</author>
    <author>bwinfrey</author>
    <author>Janvier Mungarulire</author>
  </authors>
  <commentList>
    <comment ref="G1" authorId="0" shapeId="0" xr:uid="{00000000-0006-0000-0900-000001000000}">
      <text>
        <r>
          <rPr>
            <b/>
            <sz val="9"/>
            <color indexed="81"/>
            <rFont val="Tahoma"/>
            <family val="2"/>
          </rPr>
          <t>Ibe, Ochi:</t>
        </r>
        <r>
          <rPr>
            <sz val="9"/>
            <color indexed="81"/>
            <rFont val="Tahoma"/>
            <family val="2"/>
          </rPr>
          <t xml:space="preserve">
comments were in local language so difficuolt to decode</t>
        </r>
      </text>
    </comment>
    <comment ref="S1" authorId="1" shapeId="0" xr:uid="{00000000-0006-0000-0900-000002000000}">
      <text>
        <r>
          <rPr>
            <b/>
            <sz val="9"/>
            <color indexed="81"/>
            <rFont val="Tahoma"/>
            <family val="2"/>
          </rPr>
          <t xml:space="preserve">Morrow, Melanie:
</t>
        </r>
        <r>
          <rPr>
            <sz val="9"/>
            <color indexed="81"/>
            <rFont val="Tahoma"/>
            <family val="2"/>
          </rPr>
          <t>Forthcoming</t>
        </r>
      </text>
    </comment>
    <comment ref="G2" authorId="0" shapeId="0" xr:uid="{00000000-0006-0000-0900-000003000000}">
      <text>
        <r>
          <rPr>
            <b/>
            <sz val="9"/>
            <color indexed="81"/>
            <rFont val="Tahoma"/>
            <family val="2"/>
          </rPr>
          <t>Ibe, Ochi:</t>
        </r>
        <r>
          <rPr>
            <sz val="9"/>
            <color indexed="81"/>
            <rFont val="Tahoma"/>
            <family val="2"/>
          </rPr>
          <t xml:space="preserve">
there are comments on the Avega binome questionaire -page 6 in KR pleaase explain.</t>
        </r>
      </text>
    </comment>
    <comment ref="P2" authorId="0" shapeId="0" xr:uid="{00000000-0006-0000-0900-000004000000}">
      <text>
        <r>
          <rPr>
            <b/>
            <sz val="9"/>
            <color indexed="81"/>
            <rFont val="Tahoma"/>
            <family val="2"/>
          </rPr>
          <t>Ibe, Ochi:</t>
        </r>
        <r>
          <rPr>
            <sz val="9"/>
            <color indexed="81"/>
            <rFont val="Tahoma"/>
            <family val="2"/>
          </rPr>
          <t xml:space="preserve">
there are comments on last page of questionnaire in KR to be translated</t>
        </r>
      </text>
    </comment>
    <comment ref="G3" authorId="0" shapeId="0" xr:uid="{00000000-0006-0000-0900-000005000000}">
      <text>
        <r>
          <rPr>
            <b/>
            <sz val="9"/>
            <color indexed="81"/>
            <rFont val="Tahoma"/>
            <family val="2"/>
          </rPr>
          <t>Ibe, Ochi:</t>
        </r>
        <r>
          <rPr>
            <sz val="9"/>
            <color indexed="81"/>
            <rFont val="Tahoma"/>
            <family val="2"/>
          </rPr>
          <t xml:space="preserve">
response is in Kinirwanda
it is written 7 days per week</t>
        </r>
      </text>
    </comment>
    <comment ref="I3" authorId="0" shapeId="0" xr:uid="{00000000-0006-0000-0900-000006000000}">
      <text>
        <r>
          <rPr>
            <b/>
            <sz val="9"/>
            <color indexed="81"/>
            <rFont val="Tahoma"/>
            <family val="2"/>
          </rPr>
          <t>Ibe, Ochi:</t>
        </r>
        <r>
          <rPr>
            <sz val="9"/>
            <color indexed="81"/>
            <rFont val="Tahoma"/>
            <family val="2"/>
          </rPr>
          <t xml:space="preserve">
there is a recoRding of 7 days not clear if it is response</t>
        </r>
      </text>
    </comment>
    <comment ref="Q3" authorId="1" shapeId="0" xr:uid="{00000000-0006-0000-0900-000007000000}">
      <text>
        <r>
          <rPr>
            <b/>
            <sz val="9"/>
            <color indexed="81"/>
            <rFont val="Tahoma"/>
            <family val="2"/>
          </rPr>
          <t>Morrow, Melanie:</t>
        </r>
        <r>
          <rPr>
            <sz val="9"/>
            <color indexed="81"/>
            <rFont val="Tahoma"/>
            <family val="2"/>
          </rPr>
          <t xml:space="preserve">
Surprising that in this rural area the binomes all said 3 days a week, which is less than in all of the other areas.  It is rural so we might think they would be busier.</t>
        </r>
      </text>
    </comment>
    <comment ref="G4" authorId="0" shapeId="0" xr:uid="{00000000-0006-0000-0900-000008000000}">
      <text>
        <r>
          <rPr>
            <b/>
            <sz val="9"/>
            <color indexed="81"/>
            <rFont val="Tahoma"/>
            <family val="2"/>
          </rPr>
          <t>Ibe, Ochi:</t>
        </r>
        <r>
          <rPr>
            <sz val="9"/>
            <color indexed="81"/>
            <rFont val="Tahoma"/>
            <family val="2"/>
          </rPr>
          <t xml:space="preserve">
outlier figure of 31.5 hours</t>
        </r>
      </text>
    </comment>
    <comment ref="J4" authorId="0" shapeId="0" xr:uid="{00000000-0006-0000-0900-000009000000}">
      <text>
        <r>
          <rPr>
            <b/>
            <sz val="9"/>
            <color indexed="81"/>
            <rFont val="Tahoma"/>
            <family val="2"/>
          </rPr>
          <t>Ibe, Ochi:</t>
        </r>
        <r>
          <rPr>
            <sz val="9"/>
            <color indexed="81"/>
            <rFont val="Tahoma"/>
            <family val="2"/>
          </rPr>
          <t xml:space="preserve">
comments are in Kinyarwanda; </t>
        </r>
      </text>
    </comment>
    <comment ref="L4" authorId="0" shapeId="0" xr:uid="{00000000-0006-0000-0900-00000A000000}">
      <text>
        <r>
          <rPr>
            <b/>
            <sz val="9"/>
            <color indexed="81"/>
            <rFont val="Tahoma"/>
            <family val="2"/>
          </rPr>
          <t>Ibe, Ochi:</t>
        </r>
        <r>
          <rPr>
            <sz val="9"/>
            <color indexed="81"/>
            <rFont val="Tahoma"/>
            <family val="2"/>
          </rPr>
          <t xml:space="preserve">
4 hours per day</t>
        </r>
      </text>
    </comment>
    <comment ref="N4" authorId="0" shapeId="0" xr:uid="{00000000-0006-0000-0900-00000B000000}">
      <text>
        <r>
          <rPr>
            <b/>
            <sz val="9"/>
            <color indexed="81"/>
            <rFont val="Tahoma"/>
            <family val="2"/>
          </rPr>
          <t>Ibe, Ochi:</t>
        </r>
        <r>
          <rPr>
            <sz val="9"/>
            <color indexed="81"/>
            <rFont val="Tahoma"/>
            <family val="2"/>
          </rPr>
          <t xml:space="preserve">
Wide range in responses.  Does the MOH have a minimum expectation? </t>
        </r>
      </text>
    </comment>
    <comment ref="J5" authorId="0" shapeId="0" xr:uid="{00000000-0006-0000-0900-00000C000000}">
      <text>
        <r>
          <rPr>
            <b/>
            <sz val="9"/>
            <color indexed="81"/>
            <rFont val="Tahoma"/>
            <family val="2"/>
          </rPr>
          <t>Ibe, Ochi:</t>
        </r>
        <r>
          <rPr>
            <sz val="9"/>
            <color indexed="81"/>
            <rFont val="Tahoma"/>
            <family val="2"/>
          </rPr>
          <t xml:space="preserve">
Difficult to understand responses</t>
        </r>
      </text>
    </comment>
    <comment ref="M5" authorId="0" shapeId="0" xr:uid="{00000000-0006-0000-0900-00000D000000}">
      <text>
        <r>
          <rPr>
            <b/>
            <sz val="9"/>
            <color indexed="81"/>
            <rFont val="Tahoma"/>
            <family val="2"/>
          </rPr>
          <t>Ibe, Ochi:</t>
        </r>
        <r>
          <rPr>
            <sz val="9"/>
            <color indexed="81"/>
            <rFont val="Tahoma"/>
            <family val="2"/>
          </rPr>
          <t xml:space="preserve">
two responses - 14; 21 hrs . Need cllarificatioon</t>
        </r>
      </text>
    </comment>
    <comment ref="N5" authorId="0" shapeId="0" xr:uid="{00000000-0006-0000-0900-00000E000000}">
      <text>
        <r>
          <rPr>
            <b/>
            <sz val="9"/>
            <color indexed="81"/>
            <rFont val="Tahoma"/>
            <family val="2"/>
          </rPr>
          <t>Ibe, Ochi:</t>
        </r>
        <r>
          <rPr>
            <sz val="9"/>
            <color indexed="81"/>
            <rFont val="Tahoma"/>
            <family val="2"/>
          </rPr>
          <t xml:space="preserve">
outlire response- 56hrs</t>
        </r>
      </text>
    </comment>
    <comment ref="Q5" authorId="0" shapeId="0" xr:uid="{00000000-0006-0000-0900-00000F000000}">
      <text>
        <r>
          <rPr>
            <b/>
            <sz val="9"/>
            <color indexed="81"/>
            <rFont val="Tahoma"/>
            <family val="2"/>
          </rPr>
          <t>Ibe, Ochi:</t>
        </r>
        <r>
          <rPr>
            <sz val="9"/>
            <color indexed="81"/>
            <rFont val="Tahoma"/>
            <family val="2"/>
          </rPr>
          <t xml:space="preserve">
14 hrs more common</t>
        </r>
      </text>
    </comment>
    <comment ref="F6" authorId="0" shapeId="0" xr:uid="{00000000-0006-0000-0900-000010000000}">
      <text>
        <r>
          <rPr>
            <b/>
            <sz val="9"/>
            <color indexed="81"/>
            <rFont val="Tahoma"/>
            <family val="2"/>
          </rPr>
          <t>Ibe, Ochi:</t>
        </r>
        <r>
          <rPr>
            <sz val="9"/>
            <color indexed="81"/>
            <rFont val="Tahoma"/>
            <family val="2"/>
          </rPr>
          <t xml:space="preserve">
2 meetings per year</t>
        </r>
      </text>
    </comment>
    <comment ref="H6" authorId="0" shapeId="0" xr:uid="{00000000-0006-0000-0900-000011000000}">
      <text>
        <r>
          <rPr>
            <b/>
            <sz val="9"/>
            <color indexed="81"/>
            <rFont val="Tahoma"/>
            <family val="2"/>
          </rPr>
          <t>Ibe, Ochi:</t>
        </r>
        <r>
          <rPr>
            <sz val="9"/>
            <color indexed="81"/>
            <rFont val="Tahoma"/>
            <family val="2"/>
          </rPr>
          <t xml:space="preserve">
internal conflict within cooperative affects availability for CHW services; can you tell us more about this?</t>
        </r>
      </text>
    </comment>
    <comment ref="I6" authorId="0" shapeId="0" xr:uid="{00000000-0006-0000-0900-000012000000}">
      <text>
        <r>
          <rPr>
            <b/>
            <sz val="9"/>
            <color indexed="81"/>
            <rFont val="Tahoma"/>
            <family val="2"/>
          </rPr>
          <t>Ibe, Ochi:</t>
        </r>
        <r>
          <rPr>
            <sz val="9"/>
            <color indexed="81"/>
            <rFont val="Tahoma"/>
            <family val="2"/>
          </rPr>
          <t xml:space="preserve">
translate comments </t>
        </r>
      </text>
    </comment>
    <comment ref="J6" authorId="0" shapeId="0" xr:uid="{00000000-0006-0000-0900-000013000000}">
      <text>
        <r>
          <rPr>
            <b/>
            <sz val="9"/>
            <color indexed="81"/>
            <rFont val="Tahoma"/>
            <family val="2"/>
          </rPr>
          <t>Ibe, Ochi:</t>
        </r>
        <r>
          <rPr>
            <sz val="9"/>
            <color indexed="81"/>
            <rFont val="Tahoma"/>
            <family val="2"/>
          </rPr>
          <t xml:space="preserve">
comments in KR</t>
        </r>
      </text>
    </comment>
    <comment ref="M6" authorId="0" shapeId="0" xr:uid="{00000000-0006-0000-0900-000014000000}">
      <text>
        <r>
          <rPr>
            <b/>
            <sz val="9"/>
            <color indexed="81"/>
            <rFont val="Tahoma"/>
            <family val="2"/>
          </rPr>
          <t>Ibe, Ochi:</t>
        </r>
        <r>
          <rPr>
            <sz val="9"/>
            <color indexed="81"/>
            <rFont val="Tahoma"/>
            <family val="2"/>
          </rPr>
          <t xml:space="preserve">
1 response- 1hr 40 mins</t>
        </r>
      </text>
    </comment>
    <comment ref="N6" authorId="0" shapeId="0" xr:uid="{00000000-0006-0000-0900-000015000000}">
      <text>
        <r>
          <rPr>
            <b/>
            <sz val="9"/>
            <color indexed="81"/>
            <rFont val="Tahoma"/>
            <family val="2"/>
          </rPr>
          <t>Ibe, Ochi:</t>
        </r>
        <r>
          <rPr>
            <sz val="9"/>
            <color indexed="81"/>
            <rFont val="Tahoma"/>
            <family val="2"/>
          </rPr>
          <t xml:space="preserve">
please clarify the varied response. Comment is in KR</t>
        </r>
      </text>
    </comment>
    <comment ref="O6" authorId="0" shapeId="0" xr:uid="{00000000-0006-0000-0900-000016000000}">
      <text>
        <r>
          <rPr>
            <b/>
            <sz val="9"/>
            <color indexed="81"/>
            <rFont val="Tahoma"/>
            <family val="2"/>
          </rPr>
          <t>Ibe, Ochi:</t>
        </r>
        <r>
          <rPr>
            <sz val="9"/>
            <color indexed="81"/>
            <rFont val="Tahoma"/>
            <family val="2"/>
          </rPr>
          <t xml:space="preserve">
trranslate comment in KR</t>
        </r>
      </text>
    </comment>
    <comment ref="P6" authorId="0" shapeId="0" xr:uid="{00000000-0006-0000-0900-000017000000}">
      <text>
        <r>
          <rPr>
            <b/>
            <sz val="9"/>
            <color indexed="81"/>
            <rFont val="Tahoma"/>
            <family val="2"/>
          </rPr>
          <t>Ibe, Ochi:</t>
        </r>
        <r>
          <rPr>
            <sz val="9"/>
            <color indexed="81"/>
            <rFont val="Tahoma"/>
            <family val="2"/>
          </rPr>
          <t xml:space="preserve">
one response of 6hrs</t>
        </r>
      </text>
    </comment>
    <comment ref="F7" authorId="0" shapeId="0" xr:uid="{00000000-0006-0000-0900-000018000000}">
      <text>
        <r>
          <rPr>
            <b/>
            <sz val="9"/>
            <color indexed="81"/>
            <rFont val="Tahoma"/>
            <family val="2"/>
          </rPr>
          <t>Ibe, Ochi:</t>
        </r>
        <r>
          <rPr>
            <sz val="9"/>
            <color indexed="81"/>
            <rFont val="Tahoma"/>
            <family val="2"/>
          </rPr>
          <t xml:space="preserve">
outlier figure of 20 mins</t>
        </r>
      </text>
    </comment>
    <comment ref="G7" authorId="0" shapeId="0" xr:uid="{00000000-0006-0000-0900-000019000000}">
      <text>
        <r>
          <rPr>
            <b/>
            <sz val="9"/>
            <color indexed="81"/>
            <rFont val="Tahoma"/>
            <family val="2"/>
          </rPr>
          <t>Ibe, Ochi:</t>
        </r>
        <r>
          <rPr>
            <sz val="9"/>
            <color indexed="81"/>
            <rFont val="Tahoma"/>
            <family val="2"/>
          </rPr>
          <t xml:space="preserve">
1-15 mins
1-165mins</t>
        </r>
      </text>
    </comment>
    <comment ref="M7" authorId="0" shapeId="0" xr:uid="{00000000-0006-0000-0900-00001A000000}">
      <text>
        <r>
          <rPr>
            <b/>
            <sz val="9"/>
            <color indexed="81"/>
            <rFont val="Tahoma"/>
            <family val="2"/>
          </rPr>
          <t>Ibe, Ochi:</t>
        </r>
        <r>
          <rPr>
            <sz val="9"/>
            <color indexed="81"/>
            <rFont val="Tahoma"/>
            <family val="2"/>
          </rPr>
          <t xml:space="preserve">
will need some clarification</t>
        </r>
      </text>
    </comment>
    <comment ref="O7" authorId="0" shapeId="0" xr:uid="{00000000-0006-0000-0900-00001B000000}">
      <text>
        <r>
          <rPr>
            <b/>
            <sz val="9"/>
            <color indexed="81"/>
            <rFont val="Tahoma"/>
            <family val="2"/>
          </rPr>
          <t>Ibe, Ochi:</t>
        </r>
        <r>
          <rPr>
            <sz val="9"/>
            <color indexed="81"/>
            <rFont val="Tahoma"/>
            <family val="2"/>
          </rPr>
          <t xml:space="preserve">
not sure what the response here is</t>
        </r>
      </text>
    </comment>
    <comment ref="E8" authorId="0" shapeId="0" xr:uid="{00000000-0006-0000-0900-00001C000000}">
      <text>
        <r>
          <rPr>
            <b/>
            <sz val="9"/>
            <color indexed="81"/>
            <rFont val="Tahoma"/>
            <family val="2"/>
          </rPr>
          <t>Ibe, Ochi:</t>
        </r>
        <r>
          <rPr>
            <sz val="9"/>
            <color indexed="81"/>
            <rFont val="Tahoma"/>
            <family val="2"/>
          </rPr>
          <t xml:space="preserve">
(?? For all visits in one day or just one house?)  Rwamagana IN-charge also said 60 minutes.  </t>
        </r>
      </text>
    </comment>
    <comment ref="J8" authorId="0" shapeId="0" xr:uid="{00000000-0006-0000-0900-00001D000000}">
      <text>
        <r>
          <rPr>
            <b/>
            <sz val="9"/>
            <color indexed="81"/>
            <rFont val="Tahoma"/>
            <family val="2"/>
          </rPr>
          <t>Ibe, Ochi:</t>
        </r>
        <r>
          <rPr>
            <sz val="9"/>
            <color indexed="81"/>
            <rFont val="Tahoma"/>
            <family val="2"/>
          </rPr>
          <t xml:space="preserve">
2 outlier figures: 3mins and 30mins</t>
        </r>
      </text>
    </comment>
    <comment ref="N8" authorId="0" shapeId="0" xr:uid="{00000000-0006-0000-0900-00001E000000}">
      <text>
        <r>
          <rPr>
            <b/>
            <sz val="9"/>
            <color indexed="81"/>
            <rFont val="Tahoma"/>
            <family val="2"/>
          </rPr>
          <t>Ibe, Ochi:</t>
        </r>
        <r>
          <rPr>
            <sz val="9"/>
            <color indexed="81"/>
            <rFont val="Tahoma"/>
            <family val="2"/>
          </rPr>
          <t xml:space="preserve">
mostly 5 minutes</t>
        </r>
      </text>
    </comment>
    <comment ref="D9" authorId="2" shapeId="0" xr:uid="{00000000-0006-0000-0900-00001F000000}">
      <text>
        <r>
          <rPr>
            <b/>
            <sz val="9"/>
            <color indexed="81"/>
            <rFont val="Tahoma"/>
            <family val="2"/>
          </rPr>
          <t>bwinfrey:</t>
        </r>
        <r>
          <rPr>
            <sz val="9"/>
            <color indexed="81"/>
            <rFont val="Tahoma"/>
            <family val="2"/>
          </rPr>
          <t xml:space="preserve">
Even though travel time likely different than for village based intervention travel times, C3 does not have capacity to differentiate travel times by intervention. 
Perhaps not big problem as the accompaniments are likely infrequent relative to other home visits.</t>
        </r>
      </text>
    </comment>
    <comment ref="F9" authorId="0" shapeId="0" xr:uid="{00000000-0006-0000-0900-000020000000}">
      <text>
        <r>
          <rPr>
            <b/>
            <sz val="9"/>
            <color indexed="81"/>
            <rFont val="Tahoma"/>
            <family val="2"/>
          </rPr>
          <t>Ibe, Ochi:</t>
        </r>
        <r>
          <rPr>
            <sz val="9"/>
            <color indexed="81"/>
            <rFont val="Tahoma"/>
            <family val="2"/>
          </rPr>
          <t xml:space="preserve">
outlier of 180 mins</t>
        </r>
      </text>
    </comment>
    <comment ref="N9" authorId="0" shapeId="0" xr:uid="{00000000-0006-0000-0900-000021000000}">
      <text>
        <r>
          <rPr>
            <b/>
            <sz val="9"/>
            <color indexed="81"/>
            <rFont val="Tahoma"/>
            <family val="2"/>
          </rPr>
          <t>Ibe, Ochi:</t>
        </r>
        <r>
          <rPr>
            <sz val="9"/>
            <color indexed="81"/>
            <rFont val="Tahoma"/>
            <family val="2"/>
          </rPr>
          <t xml:space="preserve">
No uniform response</t>
        </r>
      </text>
    </comment>
    <comment ref="Q9" authorId="0" shapeId="0" xr:uid="{00000000-0006-0000-0900-000022000000}">
      <text>
        <r>
          <rPr>
            <b/>
            <sz val="9"/>
            <color indexed="81"/>
            <rFont val="Tahoma"/>
            <family val="2"/>
          </rPr>
          <t>Ibe, Ochi:</t>
        </r>
        <r>
          <rPr>
            <sz val="9"/>
            <color indexed="81"/>
            <rFont val="Tahoma"/>
            <family val="2"/>
          </rPr>
          <t xml:space="preserve">
only 2 recorded responses</t>
        </r>
      </text>
    </comment>
    <comment ref="D10" authorId="2" shapeId="0" xr:uid="{00000000-0006-0000-0900-000023000000}">
      <text>
        <r>
          <rPr>
            <b/>
            <sz val="9"/>
            <color indexed="81"/>
            <rFont val="Tahoma"/>
            <family val="2"/>
          </rPr>
          <t>bwinfrey:</t>
        </r>
        <r>
          <rPr>
            <sz val="9"/>
            <color indexed="81"/>
            <rFont val="Tahoma"/>
            <family val="2"/>
          </rPr>
          <t xml:space="preserve">
Even though travel time likely different than for village based intervention travel times, C3 does not have capacity to differentiate travel times by intervention. 
Perhaps not big problem as the accompaniments are likely infrequent relative to other home visits.</t>
        </r>
      </text>
    </comment>
    <comment ref="F10" authorId="0" shapeId="0" xr:uid="{00000000-0006-0000-0900-000024000000}">
      <text>
        <r>
          <rPr>
            <b/>
            <sz val="9"/>
            <color indexed="81"/>
            <rFont val="Tahoma"/>
            <family val="2"/>
          </rPr>
          <t>Ibe, Ochi:</t>
        </r>
        <r>
          <rPr>
            <sz val="9"/>
            <color indexed="81"/>
            <rFont val="Tahoma"/>
            <family val="2"/>
          </rPr>
          <t xml:space="preserve">
1 outlier of 5hours (300 mins) and should be investigated</t>
        </r>
      </text>
    </comment>
    <comment ref="J10" authorId="0" shapeId="0" xr:uid="{00000000-0006-0000-0900-000025000000}">
      <text>
        <r>
          <rPr>
            <b/>
            <sz val="9"/>
            <color indexed="81"/>
            <rFont val="Tahoma"/>
            <family val="2"/>
          </rPr>
          <t>Ibe, Ochi:</t>
        </r>
        <r>
          <rPr>
            <sz val="9"/>
            <color indexed="81"/>
            <rFont val="Tahoma"/>
            <family val="2"/>
          </rPr>
          <t xml:space="preserve">
outlier figure -30mins</t>
        </r>
      </text>
    </comment>
    <comment ref="M10" authorId="0" shapeId="0" xr:uid="{00000000-0006-0000-0900-000026000000}">
      <text>
        <r>
          <rPr>
            <b/>
            <sz val="9"/>
            <color indexed="81"/>
            <rFont val="Tahoma"/>
            <family val="2"/>
          </rPr>
          <t>Ibe, Ochi:</t>
        </r>
        <r>
          <rPr>
            <sz val="9"/>
            <color indexed="81"/>
            <rFont val="Tahoma"/>
            <family val="2"/>
          </rPr>
          <t xml:space="preserve">
1 outlier response of 270mins</t>
        </r>
      </text>
    </comment>
    <comment ref="N10" authorId="0" shapeId="0" xr:uid="{00000000-0006-0000-0900-000027000000}">
      <text>
        <r>
          <rPr>
            <b/>
            <sz val="9"/>
            <color indexed="81"/>
            <rFont val="Tahoma"/>
            <family val="2"/>
          </rPr>
          <t>Ibe, Ochi:</t>
        </r>
        <r>
          <rPr>
            <sz val="9"/>
            <color indexed="81"/>
            <rFont val="Tahoma"/>
            <family val="2"/>
          </rPr>
          <t xml:space="preserve">
2 respondents- 25mins</t>
        </r>
      </text>
    </comment>
    <comment ref="O10" authorId="0" shapeId="0" xr:uid="{00000000-0006-0000-0900-000028000000}">
      <text>
        <r>
          <rPr>
            <b/>
            <sz val="9"/>
            <color indexed="81"/>
            <rFont val="Tahoma"/>
            <family val="2"/>
          </rPr>
          <t>Ibe, Ochi:</t>
        </r>
        <r>
          <rPr>
            <sz val="9"/>
            <color indexed="81"/>
            <rFont val="Tahoma"/>
            <family val="2"/>
          </rPr>
          <t xml:space="preserve">
longer time if HC is farther away</t>
        </r>
      </text>
    </comment>
    <comment ref="Q10" authorId="0" shapeId="0" xr:uid="{00000000-0006-0000-0900-000029000000}">
      <text>
        <r>
          <rPr>
            <b/>
            <sz val="9"/>
            <color indexed="81"/>
            <rFont val="Tahoma"/>
            <family val="2"/>
          </rPr>
          <t>Ibe, Ochi:</t>
        </r>
        <r>
          <rPr>
            <sz val="9"/>
            <color indexed="81"/>
            <rFont val="Tahoma"/>
            <family val="2"/>
          </rPr>
          <t xml:space="preserve">
only 2 recorded responses, comments in KR</t>
        </r>
      </text>
    </comment>
    <comment ref="D11" authorId="2" shapeId="0" xr:uid="{00000000-0006-0000-0900-00002A000000}">
      <text>
        <r>
          <rPr>
            <b/>
            <sz val="9"/>
            <color indexed="81"/>
            <rFont val="Tahoma"/>
            <family val="2"/>
          </rPr>
          <t>bwinfrey:</t>
        </r>
        <r>
          <rPr>
            <sz val="9"/>
            <color indexed="81"/>
            <rFont val="Tahoma"/>
            <family val="2"/>
          </rPr>
          <t xml:space="preserve">
Even though travel time likely different than for village based intervention travel times, C3 does not have capacity to differentiate travel times by intervention. 
Perhaps not big problem as the accompaniments are likely infrequent relative to other home visits.</t>
        </r>
      </text>
    </comment>
    <comment ref="F11" authorId="0" shapeId="0" xr:uid="{00000000-0006-0000-0900-00002B000000}">
      <text>
        <r>
          <rPr>
            <b/>
            <sz val="9"/>
            <color indexed="81"/>
            <rFont val="Tahoma"/>
            <family val="2"/>
          </rPr>
          <t>Ibe, Ochi:</t>
        </r>
        <r>
          <rPr>
            <sz val="9"/>
            <color indexed="81"/>
            <rFont val="Tahoma"/>
            <family val="2"/>
          </rPr>
          <t xml:space="preserve">
1 response- 60mins</t>
        </r>
      </text>
    </comment>
    <comment ref="D12" authorId="2" shapeId="0" xr:uid="{00000000-0006-0000-0900-00002C000000}">
      <text>
        <r>
          <rPr>
            <b/>
            <sz val="9"/>
            <color indexed="81"/>
            <rFont val="Tahoma"/>
            <family val="2"/>
          </rPr>
          <t>bwinfrey:</t>
        </r>
        <r>
          <rPr>
            <sz val="9"/>
            <color indexed="81"/>
            <rFont val="Tahoma"/>
            <family val="2"/>
          </rPr>
          <t xml:space="preserve">
Even though travel time likely different than for village based intervention travel times, C3 does not have capacity to differentiate travel times by intervention. 
Perhaps not big problem as the accompaniments are likely infrequent relative to other home visits.</t>
        </r>
      </text>
    </comment>
    <comment ref="F12" authorId="0" shapeId="0" xr:uid="{00000000-0006-0000-0900-00002D000000}">
      <text>
        <r>
          <rPr>
            <b/>
            <sz val="9"/>
            <color indexed="81"/>
            <rFont val="Tahoma"/>
            <family val="2"/>
          </rPr>
          <t>Ibe, Ochi:</t>
        </r>
        <r>
          <rPr>
            <sz val="9"/>
            <color indexed="81"/>
            <rFont val="Tahoma"/>
            <family val="2"/>
          </rPr>
          <t xml:space="preserve">
1 response 15 mins</t>
        </r>
      </text>
    </comment>
    <comment ref="J12" authorId="0" shapeId="0" xr:uid="{00000000-0006-0000-0900-00002E000000}">
      <text>
        <r>
          <rPr>
            <b/>
            <sz val="9"/>
            <color indexed="81"/>
            <rFont val="Tahoma"/>
            <family val="2"/>
          </rPr>
          <t>Ibe, Ochi:</t>
        </r>
        <r>
          <rPr>
            <sz val="9"/>
            <color indexed="81"/>
            <rFont val="Tahoma"/>
            <family val="2"/>
          </rPr>
          <t xml:space="preserve">
one outliert-5 mins</t>
        </r>
      </text>
    </comment>
    <comment ref="Q12" authorId="0" shapeId="0" xr:uid="{00000000-0006-0000-0900-00002F000000}">
      <text>
        <r>
          <rPr>
            <b/>
            <sz val="9"/>
            <color indexed="81"/>
            <rFont val="Tahoma"/>
            <family val="2"/>
          </rPr>
          <t>Ibe, Ochi:</t>
        </r>
        <r>
          <rPr>
            <sz val="9"/>
            <color indexed="81"/>
            <rFont val="Tahoma"/>
            <family val="2"/>
          </rPr>
          <t xml:space="preserve">
40mins most common</t>
        </r>
      </text>
    </comment>
    <comment ref="F13" authorId="0" shapeId="0" xr:uid="{00000000-0006-0000-0900-000030000000}">
      <text>
        <r>
          <rPr>
            <b/>
            <sz val="9"/>
            <color indexed="81"/>
            <rFont val="Tahoma"/>
            <family val="2"/>
          </rPr>
          <t>Ibe, Ochi:</t>
        </r>
        <r>
          <rPr>
            <sz val="9"/>
            <color indexed="81"/>
            <rFont val="Tahoma"/>
            <family val="2"/>
          </rPr>
          <t xml:space="preserve">
need clarification on if this is per wk or mth</t>
        </r>
      </text>
    </comment>
    <comment ref="G13" authorId="0" shapeId="0" xr:uid="{00000000-0006-0000-0900-000031000000}">
      <text>
        <r>
          <rPr>
            <b/>
            <sz val="9"/>
            <color indexed="81"/>
            <rFont val="Tahoma"/>
            <family val="2"/>
          </rPr>
          <t>Ibe, Ochi:</t>
        </r>
        <r>
          <rPr>
            <sz val="9"/>
            <color indexed="81"/>
            <rFont val="Tahoma"/>
            <family val="2"/>
          </rPr>
          <t xml:space="preserve">
colarify id per week or day. 1 outlier 30mins? Per day </t>
        </r>
      </text>
    </comment>
    <comment ref="H13" authorId="0" shapeId="0" xr:uid="{00000000-0006-0000-0900-000032000000}">
      <text>
        <r>
          <rPr>
            <b/>
            <sz val="9"/>
            <color indexed="81"/>
            <rFont val="Tahoma"/>
            <family val="2"/>
          </rPr>
          <t>Ibe, Ochi:</t>
        </r>
        <r>
          <rPr>
            <sz val="9"/>
            <color indexed="81"/>
            <rFont val="Tahoma"/>
            <family val="2"/>
          </rPr>
          <t xml:space="preserve">
4 figures are reported not sure what to pick</t>
        </r>
      </text>
    </comment>
    <comment ref="I13" authorId="1" shapeId="0" xr:uid="{00000000-0006-0000-0900-000033000000}">
      <text>
        <r>
          <rPr>
            <b/>
            <sz val="9"/>
            <color indexed="81"/>
            <rFont val="Tahoma"/>
            <family val="2"/>
          </rPr>
          <t>Morrow, Melanie:</t>
        </r>
        <r>
          <rPr>
            <sz val="9"/>
            <color indexed="81"/>
            <rFont val="Tahoma"/>
            <family val="2"/>
          </rPr>
          <t xml:space="preserve">
much less than the other ASM response. </t>
        </r>
      </text>
    </comment>
    <comment ref="J13" authorId="0" shapeId="0" xr:uid="{00000000-0006-0000-0900-000034000000}">
      <text>
        <r>
          <rPr>
            <b/>
            <sz val="9"/>
            <color indexed="81"/>
            <rFont val="Tahoma"/>
            <family val="2"/>
          </rPr>
          <t>Ibe, Ochi:</t>
        </r>
        <r>
          <rPr>
            <sz val="9"/>
            <color indexed="81"/>
            <rFont val="Tahoma"/>
            <family val="2"/>
          </rPr>
          <t xml:space="preserve">
one outlier of 240mins</t>
        </r>
      </text>
    </comment>
    <comment ref="F14" authorId="1" shapeId="0" xr:uid="{00000000-0006-0000-0900-000035000000}">
      <text>
        <r>
          <rPr>
            <b/>
            <sz val="9"/>
            <color indexed="81"/>
            <rFont val="Tahoma"/>
            <family val="2"/>
          </rPr>
          <t>Morrow, Melanie:</t>
        </r>
        <r>
          <rPr>
            <sz val="9"/>
            <color indexed="81"/>
            <rFont val="Tahoma"/>
            <family val="2"/>
          </rPr>
          <t xml:space="preserve">
This is so much higher than the other ASMs reported we don't know what to make of it</t>
        </r>
      </text>
    </comment>
    <comment ref="H17" authorId="1" shapeId="0" xr:uid="{00000000-0006-0000-0900-000036000000}">
      <text>
        <r>
          <rPr>
            <b/>
            <sz val="9"/>
            <color indexed="81"/>
            <rFont val="Tahoma"/>
            <family val="2"/>
          </rPr>
          <t xml:space="preserve">Morrow, Melanie:
</t>
        </r>
        <r>
          <rPr>
            <sz val="9"/>
            <color indexed="81"/>
            <rFont val="Tahoma"/>
            <family val="2"/>
          </rPr>
          <t>Does this vary by HC area?  10 days reported elsewhere</t>
        </r>
      </text>
    </comment>
    <comment ref="F19" authorId="0" shapeId="0" xr:uid="{00000000-0006-0000-0900-000037000000}">
      <text>
        <r>
          <rPr>
            <b/>
            <sz val="9"/>
            <color indexed="81"/>
            <rFont val="Tahoma"/>
            <family val="2"/>
          </rPr>
          <t>Ibe, Ochi:</t>
        </r>
        <r>
          <rPr>
            <sz val="9"/>
            <color indexed="81"/>
            <rFont val="Tahoma"/>
            <family val="2"/>
          </rPr>
          <t xml:space="preserve">
answers vary (3;5;15)</t>
        </r>
      </text>
    </comment>
    <comment ref="M19" authorId="0" shapeId="0" xr:uid="{00000000-0006-0000-0900-000038000000}">
      <text>
        <r>
          <rPr>
            <b/>
            <sz val="9"/>
            <color indexed="81"/>
            <rFont val="Tahoma"/>
            <family val="2"/>
          </rPr>
          <t>Ibe, Ochi:</t>
        </r>
        <r>
          <rPr>
            <sz val="9"/>
            <color indexed="81"/>
            <rFont val="Tahoma"/>
            <family val="2"/>
          </rPr>
          <t xml:space="preserve">
need to clarify this. It is an outlier</t>
        </r>
      </text>
    </comment>
    <comment ref="N19" authorId="0" shapeId="0" xr:uid="{00000000-0006-0000-0900-000039000000}">
      <text>
        <r>
          <rPr>
            <b/>
            <sz val="9"/>
            <color indexed="81"/>
            <rFont val="Tahoma"/>
            <family val="2"/>
          </rPr>
          <t>Ibe, Ochi:</t>
        </r>
        <r>
          <rPr>
            <sz val="9"/>
            <color indexed="81"/>
            <rFont val="Tahoma"/>
            <family val="2"/>
          </rPr>
          <t xml:space="preserve">
comments in KR to be translated</t>
        </r>
      </text>
    </comment>
    <comment ref="J25" authorId="0" shapeId="0" xr:uid="{00000000-0006-0000-0900-00003A000000}">
      <text>
        <r>
          <rPr>
            <b/>
            <sz val="9"/>
            <color indexed="81"/>
            <rFont val="Tahoma"/>
            <family val="2"/>
          </rPr>
          <t>Ibe, Ochi:</t>
        </r>
        <r>
          <rPr>
            <sz val="9"/>
            <color indexed="81"/>
            <rFont val="Tahoma"/>
            <family val="2"/>
          </rPr>
          <t xml:space="preserve">
one response-50mins</t>
        </r>
      </text>
    </comment>
    <comment ref="D27" authorId="1" shapeId="0" xr:uid="{00000000-0006-0000-0900-00003B000000}">
      <text>
        <r>
          <rPr>
            <b/>
            <sz val="9"/>
            <color indexed="81"/>
            <rFont val="Tahoma"/>
            <family val="2"/>
          </rPr>
          <t>Morrow, Melanie:</t>
        </r>
        <r>
          <rPr>
            <sz val="9"/>
            <color indexed="81"/>
            <rFont val="Tahoma"/>
            <family val="2"/>
          </rPr>
          <t xml:space="preserve">
Bill:  This is malaria for adults so not part of sick child visits.  It is an additional intervention and should get added to C3 tool</t>
        </r>
      </text>
    </comment>
    <comment ref="H29" authorId="0" shapeId="0" xr:uid="{00000000-0006-0000-0900-00003C000000}">
      <text>
        <r>
          <rPr>
            <b/>
            <sz val="9"/>
            <color indexed="81"/>
            <rFont val="Tahoma"/>
            <family val="2"/>
          </rPr>
          <t>Ibe, Ochi:</t>
        </r>
        <r>
          <rPr>
            <sz val="9"/>
            <color indexed="81"/>
            <rFont val="Tahoma"/>
            <family val="2"/>
          </rPr>
          <t xml:space="preserve">
This response was shaded. Please clarify why?</t>
        </r>
      </text>
    </comment>
    <comment ref="E31" authorId="0" shapeId="0" xr:uid="{00000000-0006-0000-0900-00003D000000}">
      <text>
        <r>
          <rPr>
            <b/>
            <sz val="9"/>
            <color indexed="81"/>
            <rFont val="Tahoma"/>
            <family val="2"/>
          </rPr>
          <t>Ibe, Ochi:</t>
        </r>
        <r>
          <rPr>
            <sz val="9"/>
            <color indexed="81"/>
            <rFont val="Tahoma"/>
            <family val="2"/>
          </rPr>
          <t xml:space="preserve">
no response from CHW in charge</t>
        </r>
      </text>
    </comment>
    <comment ref="J32" authorId="0" shapeId="0" xr:uid="{00000000-0006-0000-0900-00003E000000}">
      <text>
        <r>
          <rPr>
            <b/>
            <sz val="9"/>
            <color indexed="81"/>
            <rFont val="Tahoma"/>
            <family val="2"/>
          </rPr>
          <t>Ibe, Ochi:</t>
        </r>
        <r>
          <rPr>
            <sz val="9"/>
            <color indexed="81"/>
            <rFont val="Tahoma"/>
            <family val="2"/>
          </rPr>
          <t xml:space="preserve">
comments are in KR please translate</t>
        </r>
      </text>
    </comment>
    <comment ref="N32" authorId="0" shapeId="0" xr:uid="{00000000-0006-0000-0900-00003F000000}">
      <text>
        <r>
          <rPr>
            <b/>
            <sz val="9"/>
            <color indexed="81"/>
            <rFont val="Tahoma"/>
            <family val="2"/>
          </rPr>
          <t>Ibe, Ochi:</t>
        </r>
        <r>
          <rPr>
            <sz val="9"/>
            <color indexed="81"/>
            <rFont val="Tahoma"/>
            <family val="2"/>
          </rPr>
          <t xml:space="preserve">
there are many comments in KR for this response and one is unsuare what this means</t>
        </r>
      </text>
    </comment>
    <comment ref="Q32" authorId="1" shapeId="0" xr:uid="{00000000-0006-0000-0900-000040000000}">
      <text>
        <r>
          <rPr>
            <b/>
            <sz val="9"/>
            <color indexed="81"/>
            <rFont val="Tahoma"/>
            <family val="2"/>
          </rPr>
          <t>Morrow, Melanie:</t>
        </r>
        <r>
          <rPr>
            <sz val="9"/>
            <color indexed="81"/>
            <rFont val="Tahoma"/>
            <family val="2"/>
          </rPr>
          <t xml:space="preserve">
This is the opposite of what the in-charge said for same HC area.  Go with what the in-charge said for a rural average?</t>
        </r>
      </text>
    </comment>
    <comment ref="I34" authorId="0" shapeId="0" xr:uid="{00000000-0006-0000-0900-000041000000}">
      <text>
        <r>
          <rPr>
            <b/>
            <sz val="9"/>
            <color indexed="81"/>
            <rFont val="Tahoma"/>
            <family val="2"/>
          </rPr>
          <t>Ibe, Ochi:</t>
        </r>
        <r>
          <rPr>
            <sz val="9"/>
            <color indexed="81"/>
            <rFont val="Tahoma"/>
            <family val="2"/>
          </rPr>
          <t xml:space="preserve">
majority is 60mins</t>
        </r>
      </text>
    </comment>
    <comment ref="P34" authorId="0" shapeId="0" xr:uid="{00000000-0006-0000-0900-000042000000}">
      <text>
        <r>
          <rPr>
            <b/>
            <sz val="9"/>
            <color indexed="81"/>
            <rFont val="Tahoma"/>
            <family val="2"/>
          </rPr>
          <t>Ibe, Ochi:</t>
        </r>
        <r>
          <rPr>
            <sz val="9"/>
            <color indexed="81"/>
            <rFont val="Tahoma"/>
            <family val="2"/>
          </rPr>
          <t xml:space="preserve">
one response of 60mins</t>
        </r>
      </text>
    </comment>
    <comment ref="I35" authorId="0" shapeId="0" xr:uid="{00000000-0006-0000-0900-000043000000}">
      <text>
        <r>
          <rPr>
            <b/>
            <sz val="9"/>
            <color indexed="81"/>
            <rFont val="Tahoma"/>
            <family val="2"/>
          </rPr>
          <t>Ibe, Ochi:</t>
        </r>
        <r>
          <rPr>
            <sz val="9"/>
            <color indexed="81"/>
            <rFont val="Tahoma"/>
            <family val="2"/>
          </rPr>
          <t xml:space="preserve">
one outlier - 50mins</t>
        </r>
      </text>
    </comment>
    <comment ref="P35" authorId="0" shapeId="0" xr:uid="{00000000-0006-0000-0900-000044000000}">
      <text>
        <r>
          <rPr>
            <b/>
            <sz val="9"/>
            <color indexed="81"/>
            <rFont val="Tahoma"/>
            <family val="2"/>
          </rPr>
          <t>Ibe, Ochi:</t>
        </r>
        <r>
          <rPr>
            <sz val="9"/>
            <color indexed="81"/>
            <rFont val="Tahoma"/>
            <family val="2"/>
          </rPr>
          <t xml:space="preserve">
one response of 60mins</t>
        </r>
      </text>
    </comment>
    <comment ref="I36" authorId="0" shapeId="0" xr:uid="{00000000-0006-0000-0900-000045000000}">
      <text>
        <r>
          <rPr>
            <b/>
            <sz val="9"/>
            <color indexed="81"/>
            <rFont val="Tahoma"/>
            <family val="2"/>
          </rPr>
          <t>Ibe, Ochi:</t>
        </r>
        <r>
          <rPr>
            <sz val="9"/>
            <color indexed="81"/>
            <rFont val="Tahoma"/>
            <family val="2"/>
          </rPr>
          <t xml:space="preserve">
one outlier -  120mins</t>
        </r>
      </text>
    </comment>
    <comment ref="H37" authorId="0" shapeId="0" xr:uid="{00000000-0006-0000-0900-000046000000}">
      <text>
        <r>
          <rPr>
            <b/>
            <sz val="9"/>
            <color indexed="81"/>
            <rFont val="Tahoma"/>
            <family val="2"/>
          </rPr>
          <t>Ibe, Ochi:</t>
        </r>
        <r>
          <rPr>
            <sz val="9"/>
            <color indexed="81"/>
            <rFont val="Tahoma"/>
            <family val="2"/>
          </rPr>
          <t xml:space="preserve">
Shaded response, please clarify</t>
        </r>
      </text>
    </comment>
    <comment ref="K37" authorId="3" shapeId="0" xr:uid="{00000000-0006-0000-0900-000047000000}">
      <text>
        <r>
          <rPr>
            <b/>
            <sz val="9"/>
            <color indexed="81"/>
            <rFont val="Tahoma"/>
            <family val="2"/>
          </rPr>
          <t>Janvier Mungarulire:</t>
        </r>
        <r>
          <rPr>
            <sz val="9"/>
            <color indexed="81"/>
            <rFont val="Tahoma"/>
            <family val="2"/>
          </rPr>
          <t xml:space="preserve">
this is not in CHWs mandate but it was asked as if it could happen during tranfer</t>
        </r>
      </text>
    </comment>
    <comment ref="R37" authorId="3" shapeId="0" xr:uid="{00000000-0006-0000-0900-000048000000}">
      <text>
        <r>
          <rPr>
            <b/>
            <sz val="9"/>
            <color indexed="81"/>
            <rFont val="Tahoma"/>
            <family val="2"/>
          </rPr>
          <t>Janvier Mungarulire:</t>
        </r>
        <r>
          <rPr>
            <sz val="9"/>
            <color indexed="81"/>
            <rFont val="Tahoma"/>
            <family val="2"/>
          </rPr>
          <t xml:space="preserve">
this is not in CHWs mandate but it was asked as if it could happen during tranfer</t>
        </r>
      </text>
    </comment>
    <comment ref="F38" authorId="0" shapeId="0" xr:uid="{00000000-0006-0000-0900-000049000000}">
      <text>
        <r>
          <rPr>
            <b/>
            <sz val="9"/>
            <color indexed="81"/>
            <rFont val="Tahoma"/>
            <family val="2"/>
          </rPr>
          <t>Ibe, Ochi:</t>
        </r>
        <r>
          <rPr>
            <sz val="9"/>
            <color indexed="81"/>
            <rFont val="Tahoma"/>
            <family val="2"/>
          </rPr>
          <t xml:space="preserve">
description did not specify if travel time was to be included</t>
        </r>
      </text>
    </comment>
    <comment ref="I38" authorId="0" shapeId="0" xr:uid="{00000000-0006-0000-0900-00004A000000}">
      <text>
        <r>
          <rPr>
            <b/>
            <sz val="9"/>
            <color indexed="81"/>
            <rFont val="Tahoma"/>
            <family val="2"/>
          </rPr>
          <t>Ibe, Ochi:</t>
        </r>
        <r>
          <rPr>
            <sz val="9"/>
            <color indexed="81"/>
            <rFont val="Tahoma"/>
            <family val="2"/>
          </rPr>
          <t xml:space="preserve">
there is a comment in KR , please clarify. An outlier- 1min?</t>
        </r>
      </text>
    </comment>
    <comment ref="M38" authorId="0" shapeId="0" xr:uid="{00000000-0006-0000-0900-00004B000000}">
      <text>
        <r>
          <rPr>
            <b/>
            <sz val="9"/>
            <color indexed="81"/>
            <rFont val="Tahoma"/>
            <family val="2"/>
          </rPr>
          <t>Ibe, Ochi:</t>
        </r>
        <r>
          <rPr>
            <sz val="9"/>
            <color indexed="81"/>
            <rFont val="Tahoma"/>
            <family val="2"/>
          </rPr>
          <t xml:space="preserve">
one outlier- 30mins</t>
        </r>
      </text>
    </comment>
    <comment ref="R38" authorId="3" shapeId="0" xr:uid="{00000000-0006-0000-0900-00004C000000}">
      <text>
        <r>
          <rPr>
            <b/>
            <sz val="9"/>
            <color indexed="81"/>
            <rFont val="Tahoma"/>
            <family val="2"/>
          </rPr>
          <t>Janvier Mungarulire:</t>
        </r>
        <r>
          <rPr>
            <sz val="9"/>
            <color indexed="81"/>
            <rFont val="Tahoma"/>
            <family val="2"/>
          </rPr>
          <t xml:space="preserve">
this was estimated after the survey after consulting with the person who asked the question(If it include the time it could be up to 120 min but other responses were for counseilling and administration of Misoprostol(15min)</t>
        </r>
      </text>
    </comment>
    <comment ref="F39" authorId="0" shapeId="0" xr:uid="{00000000-0006-0000-0900-00004D000000}">
      <text>
        <r>
          <rPr>
            <b/>
            <sz val="9"/>
            <color indexed="81"/>
            <rFont val="Tahoma"/>
            <family val="2"/>
          </rPr>
          <t>Ibe, Ochi:</t>
        </r>
        <r>
          <rPr>
            <sz val="9"/>
            <color indexed="81"/>
            <rFont val="Tahoma"/>
            <family val="2"/>
          </rPr>
          <t xml:space="preserve">
1 outlier response of 120 mins</t>
        </r>
      </text>
    </comment>
    <comment ref="F41" authorId="0" shapeId="0" xr:uid="{00000000-0006-0000-0900-00004E000000}">
      <text>
        <r>
          <rPr>
            <b/>
            <sz val="9"/>
            <color indexed="81"/>
            <rFont val="Tahoma"/>
            <family val="2"/>
          </rPr>
          <t>Ibe, Ochi:</t>
        </r>
        <r>
          <rPr>
            <sz val="9"/>
            <color indexed="81"/>
            <rFont val="Tahoma"/>
            <family val="2"/>
          </rPr>
          <t xml:space="preserve">
1 outlier response of 120 mins</t>
        </r>
      </text>
    </comment>
    <comment ref="P43" authorId="0" shapeId="0" xr:uid="{00000000-0006-0000-0900-00004F000000}">
      <text>
        <r>
          <rPr>
            <b/>
            <sz val="9"/>
            <color indexed="81"/>
            <rFont val="Tahoma"/>
            <family val="2"/>
          </rPr>
          <t>Ibe, Ochi:</t>
        </r>
        <r>
          <rPr>
            <sz val="9"/>
            <color indexed="81"/>
            <rFont val="Tahoma"/>
            <family val="2"/>
          </rPr>
          <t xml:space="preserve">
outlier respobse of 210mins</t>
        </r>
      </text>
    </comment>
    <comment ref="H45" authorId="0" shapeId="0" xr:uid="{00000000-0006-0000-0900-000050000000}">
      <text>
        <r>
          <rPr>
            <b/>
            <sz val="9"/>
            <color indexed="81"/>
            <rFont val="Tahoma"/>
            <family val="2"/>
          </rPr>
          <t>Ibe, Ochi:</t>
        </r>
        <r>
          <rPr>
            <sz val="9"/>
            <color indexed="81"/>
            <rFont val="Tahoma"/>
            <family val="2"/>
          </rPr>
          <t xml:space="preserve">
shaded response in data collection form, please clarify.  Also, this estimate is much less than all of the others.  Seems like it may be out of touch. </t>
        </r>
      </text>
    </comment>
    <comment ref="P45" authorId="0" shapeId="0" xr:uid="{00000000-0006-0000-0900-000051000000}">
      <text>
        <r>
          <rPr>
            <b/>
            <sz val="9"/>
            <color indexed="81"/>
            <rFont val="Tahoma"/>
            <family val="2"/>
          </rPr>
          <t>Ibe, Ochi:</t>
        </r>
        <r>
          <rPr>
            <sz val="9"/>
            <color indexed="81"/>
            <rFont val="Tahoma"/>
            <family val="2"/>
          </rPr>
          <t xml:space="preserve">
one response - 40mins</t>
        </r>
      </text>
    </comment>
    <comment ref="I47" authorId="0" shapeId="0" xr:uid="{00000000-0006-0000-0900-000052000000}">
      <text>
        <r>
          <rPr>
            <b/>
            <sz val="9"/>
            <color indexed="81"/>
            <rFont val="Tahoma"/>
            <family val="2"/>
          </rPr>
          <t>Ibe, Ochi:</t>
        </r>
        <r>
          <rPr>
            <sz val="9"/>
            <color indexed="81"/>
            <rFont val="Tahoma"/>
            <family val="2"/>
          </rPr>
          <t xml:space="preserve">
mostly 30mins</t>
        </r>
      </text>
    </comment>
    <comment ref="N47" authorId="0" shapeId="0" xr:uid="{00000000-0006-0000-0900-000053000000}">
      <text>
        <r>
          <rPr>
            <b/>
            <sz val="9"/>
            <color indexed="81"/>
            <rFont val="Tahoma"/>
            <family val="2"/>
          </rPr>
          <t>Ibe, Ochi:</t>
        </r>
        <r>
          <rPr>
            <sz val="9"/>
            <color indexed="81"/>
            <rFont val="Tahoma"/>
            <family val="2"/>
          </rPr>
          <t xml:space="preserve">
one response-50mins</t>
        </r>
      </text>
    </comment>
    <comment ref="P47" authorId="0" shapeId="0" xr:uid="{00000000-0006-0000-0900-000054000000}">
      <text>
        <r>
          <rPr>
            <b/>
            <sz val="9"/>
            <color indexed="81"/>
            <rFont val="Tahoma"/>
            <family val="2"/>
          </rPr>
          <t>Ibe, Ochi:</t>
        </r>
        <r>
          <rPr>
            <sz val="9"/>
            <color indexed="81"/>
            <rFont val="Tahoma"/>
            <family val="2"/>
          </rPr>
          <t xml:space="preserve">
one response 90mins</t>
        </r>
      </text>
    </comment>
    <comment ref="J48" authorId="0" shapeId="0" xr:uid="{00000000-0006-0000-0900-000055000000}">
      <text>
        <r>
          <rPr>
            <b/>
            <sz val="9"/>
            <color indexed="81"/>
            <rFont val="Tahoma"/>
            <family val="2"/>
          </rPr>
          <t>Ibe, Ochi:</t>
        </r>
        <r>
          <rPr>
            <sz val="9"/>
            <color indexed="81"/>
            <rFont val="Tahoma"/>
            <family val="2"/>
          </rPr>
          <t xml:space="preserve">
one response- 40mins</t>
        </r>
      </text>
    </comment>
    <comment ref="N48" authorId="0" shapeId="0" xr:uid="{00000000-0006-0000-0900-000056000000}">
      <text>
        <r>
          <rPr>
            <b/>
            <sz val="9"/>
            <color indexed="81"/>
            <rFont val="Tahoma"/>
            <family val="2"/>
          </rPr>
          <t>Ibe, Ochi:</t>
        </r>
        <r>
          <rPr>
            <sz val="9"/>
            <color indexed="81"/>
            <rFont val="Tahoma"/>
            <family val="2"/>
          </rPr>
          <t xml:space="preserve">
1 respon-60mins for first time</t>
        </r>
      </text>
    </comment>
    <comment ref="I49" authorId="0" shapeId="0" xr:uid="{00000000-0006-0000-0900-000057000000}">
      <text>
        <r>
          <rPr>
            <b/>
            <sz val="9"/>
            <color indexed="81"/>
            <rFont val="Tahoma"/>
            <family val="2"/>
          </rPr>
          <t>Ibe, Ochi:</t>
        </r>
        <r>
          <rPr>
            <sz val="9"/>
            <color indexed="81"/>
            <rFont val="Tahoma"/>
            <family val="2"/>
          </rPr>
          <t xml:space="preserve">
mostly 30mins</t>
        </r>
      </text>
    </comment>
    <comment ref="J49" authorId="0" shapeId="0" xr:uid="{00000000-0006-0000-0900-000058000000}">
      <text>
        <r>
          <rPr>
            <b/>
            <sz val="9"/>
            <color indexed="81"/>
            <rFont val="Tahoma"/>
            <family val="2"/>
          </rPr>
          <t>Ibe, Ochi:</t>
        </r>
        <r>
          <rPr>
            <sz val="9"/>
            <color indexed="81"/>
            <rFont val="Tahoma"/>
            <family val="2"/>
          </rPr>
          <t xml:space="preserve">
one response- 20mins</t>
        </r>
      </text>
    </comment>
    <comment ref="P49" authorId="0" shapeId="0" xr:uid="{00000000-0006-0000-0900-000059000000}">
      <text>
        <r>
          <rPr>
            <b/>
            <sz val="9"/>
            <color indexed="81"/>
            <rFont val="Tahoma"/>
            <family val="2"/>
          </rPr>
          <t>Ibe, Ochi:</t>
        </r>
        <r>
          <rPr>
            <sz val="9"/>
            <color indexed="81"/>
            <rFont val="Tahoma"/>
            <family val="2"/>
          </rPr>
          <t xml:space="preserve">
outllier response</t>
        </r>
      </text>
    </comment>
    <comment ref="E50" authorId="0" shapeId="0" xr:uid="{00000000-0006-0000-0900-00005A000000}">
      <text>
        <r>
          <rPr>
            <b/>
            <sz val="9"/>
            <color indexed="81"/>
            <rFont val="Tahoma"/>
            <family val="2"/>
          </rPr>
          <t>Ibe, Ochi:</t>
        </r>
        <r>
          <rPr>
            <sz val="9"/>
            <color indexed="81"/>
            <rFont val="Tahoma"/>
            <family val="2"/>
          </rPr>
          <t xml:space="preserve">
what does N/A here represent</t>
        </r>
      </text>
    </comment>
    <comment ref="I52" authorId="0" shapeId="0" xr:uid="{00000000-0006-0000-0900-00005B000000}">
      <text>
        <r>
          <rPr>
            <b/>
            <sz val="9"/>
            <color indexed="81"/>
            <rFont val="Tahoma"/>
            <family val="2"/>
          </rPr>
          <t>Ibe, Ochi:</t>
        </r>
        <r>
          <rPr>
            <sz val="9"/>
            <color indexed="81"/>
            <rFont val="Tahoma"/>
            <family val="2"/>
          </rPr>
          <t xml:space="preserve">
mostly 90mins</t>
        </r>
      </text>
    </comment>
    <comment ref="N52" authorId="0" shapeId="0" xr:uid="{00000000-0006-0000-0900-00005C000000}">
      <text>
        <r>
          <rPr>
            <b/>
            <sz val="9"/>
            <color indexed="81"/>
            <rFont val="Tahoma"/>
            <family val="2"/>
          </rPr>
          <t>Ibe, Ochi:</t>
        </r>
        <r>
          <rPr>
            <sz val="9"/>
            <color indexed="81"/>
            <rFont val="Tahoma"/>
            <family val="2"/>
          </rPr>
          <t xml:space="preserve">
one response 20mins and another 90mins</t>
        </r>
      </text>
    </comment>
    <comment ref="H53" authorId="1" shapeId="0" xr:uid="{00000000-0006-0000-0900-00005D000000}">
      <text>
        <r>
          <rPr>
            <b/>
            <sz val="9"/>
            <color indexed="81"/>
            <rFont val="Tahoma"/>
            <family val="2"/>
          </rPr>
          <t>Morrow, Melanie:</t>
        </r>
        <r>
          <rPr>
            <sz val="9"/>
            <color indexed="81"/>
            <rFont val="Tahoma"/>
            <family val="2"/>
          </rPr>
          <t xml:space="preserve">
Does this imply that the binomes in this HC area are not providing any of the FP services?</t>
        </r>
      </text>
    </comment>
    <comment ref="S53" authorId="1" shapeId="0" xr:uid="{00000000-0006-0000-0900-00005E000000}">
      <text>
        <r>
          <rPr>
            <b/>
            <sz val="9"/>
            <color indexed="81"/>
            <rFont val="Tahoma"/>
            <family val="2"/>
          </rPr>
          <t>Morrow, Melanie:</t>
        </r>
        <r>
          <rPr>
            <sz val="9"/>
            <color indexed="81"/>
            <rFont val="Tahoma"/>
            <family val="2"/>
          </rPr>
          <t xml:space="preserve">
It is relatively new that ASMs are doing FP so likely these data refer to binomes</t>
        </r>
      </text>
    </comment>
    <comment ref="I56" authorId="0" shapeId="0" xr:uid="{00000000-0006-0000-0900-00005F000000}">
      <text>
        <r>
          <rPr>
            <b/>
            <sz val="9"/>
            <color indexed="81"/>
            <rFont val="Tahoma"/>
            <family val="2"/>
          </rPr>
          <t>Ibe, Ochi:</t>
        </r>
        <r>
          <rPr>
            <sz val="9"/>
            <color indexed="81"/>
            <rFont val="Tahoma"/>
            <family val="2"/>
          </rPr>
          <t xml:space="preserve">
responses are unclear</t>
        </r>
      </text>
    </comment>
    <comment ref="J56" authorId="0" shapeId="0" xr:uid="{00000000-0006-0000-0900-000060000000}">
      <text>
        <r>
          <rPr>
            <b/>
            <sz val="9"/>
            <color indexed="81"/>
            <rFont val="Tahoma"/>
            <family val="2"/>
          </rPr>
          <t>Ibe, Ochi:</t>
        </r>
        <r>
          <rPr>
            <sz val="9"/>
            <color indexed="81"/>
            <rFont val="Tahoma"/>
            <family val="2"/>
          </rPr>
          <t xml:space="preserve">
reported in hours</t>
        </r>
      </text>
    </comment>
    <comment ref="Q56" authorId="0" shapeId="0" xr:uid="{00000000-0006-0000-0900-000061000000}">
      <text>
        <r>
          <rPr>
            <b/>
            <sz val="9"/>
            <color indexed="81"/>
            <rFont val="Tahoma"/>
            <family val="2"/>
          </rPr>
          <t>Ibe, Ochi:</t>
        </r>
        <r>
          <rPr>
            <sz val="9"/>
            <color indexed="81"/>
            <rFont val="Tahoma"/>
            <family val="2"/>
          </rPr>
          <t xml:space="preserve">
please explain cmments in KR</t>
        </r>
      </text>
    </comment>
    <comment ref="J57" authorId="0" shapeId="0" xr:uid="{00000000-0006-0000-0900-000062000000}">
      <text>
        <r>
          <rPr>
            <b/>
            <sz val="9"/>
            <color indexed="81"/>
            <rFont val="Tahoma"/>
            <family val="2"/>
          </rPr>
          <t>Ibe, Ochi:</t>
        </r>
        <r>
          <rPr>
            <sz val="9"/>
            <color indexed="81"/>
            <rFont val="Tahoma"/>
            <family val="2"/>
          </rPr>
          <t xml:space="preserve">
one response of 60mins</t>
        </r>
      </text>
    </comment>
    <comment ref="F59" authorId="0" shapeId="0" xr:uid="{00000000-0006-0000-0900-000063000000}">
      <text>
        <r>
          <rPr>
            <b/>
            <sz val="9"/>
            <color indexed="81"/>
            <rFont val="Tahoma"/>
            <family val="2"/>
          </rPr>
          <t>Ibe, Ochi:</t>
        </r>
        <r>
          <rPr>
            <sz val="9"/>
            <color indexed="81"/>
            <rFont val="Tahoma"/>
            <family val="2"/>
          </rPr>
          <t xml:space="preserve">
cooments are in KR needs explantion</t>
        </r>
      </text>
    </comment>
    <comment ref="I59" authorId="0" shapeId="0" xr:uid="{00000000-0006-0000-0900-000064000000}">
      <text>
        <r>
          <rPr>
            <b/>
            <sz val="9"/>
            <color indexed="81"/>
            <rFont val="Tahoma"/>
            <family val="2"/>
          </rPr>
          <t>Ibe, Ochi:</t>
        </r>
        <r>
          <rPr>
            <sz val="9"/>
            <color indexed="81"/>
            <rFont val="Tahoma"/>
            <family val="2"/>
          </rPr>
          <t xml:space="preserve">
please clarify responses are in KR </t>
        </r>
      </text>
    </comment>
    <comment ref="J59" authorId="0" shapeId="0" xr:uid="{00000000-0006-0000-0900-000065000000}">
      <text>
        <r>
          <rPr>
            <b/>
            <sz val="9"/>
            <color indexed="81"/>
            <rFont val="Tahoma"/>
            <family val="2"/>
          </rPr>
          <t>Ibe, Ochi:</t>
        </r>
        <r>
          <rPr>
            <sz val="9"/>
            <color indexed="81"/>
            <rFont val="Tahoma"/>
            <family val="2"/>
          </rPr>
          <t xml:space="preserve">
please clarify comments are in KR</t>
        </r>
      </text>
    </comment>
    <comment ref="N59" authorId="0" shapeId="0" xr:uid="{00000000-0006-0000-0900-000066000000}">
      <text>
        <r>
          <rPr>
            <b/>
            <sz val="9"/>
            <color indexed="81"/>
            <rFont val="Tahoma"/>
            <family val="2"/>
          </rPr>
          <t>Ibe, Ochi:</t>
        </r>
        <r>
          <rPr>
            <sz val="9"/>
            <color indexed="81"/>
            <rFont val="Tahoma"/>
            <family val="2"/>
          </rPr>
          <t xml:space="preserve">
please verify as commebts are in KR</t>
        </r>
      </text>
    </comment>
    <comment ref="P59" authorId="0" shapeId="0" xr:uid="{00000000-0006-0000-0900-000067000000}">
      <text>
        <r>
          <rPr>
            <b/>
            <sz val="9"/>
            <color indexed="81"/>
            <rFont val="Tahoma"/>
            <family val="2"/>
          </rPr>
          <t>Ibe, Ochi:</t>
        </r>
        <r>
          <rPr>
            <sz val="9"/>
            <color indexed="81"/>
            <rFont val="Tahoma"/>
            <family val="2"/>
          </rPr>
          <t xml:space="preserve">
comment is in KR ; pleased translate</t>
        </r>
      </text>
    </comment>
    <comment ref="Q59" authorId="0" shapeId="0" xr:uid="{00000000-0006-0000-0900-000068000000}">
      <text>
        <r>
          <rPr>
            <b/>
            <sz val="9"/>
            <color indexed="81"/>
            <rFont val="Tahoma"/>
            <family val="2"/>
          </rPr>
          <t>Ibe, Ochi:</t>
        </r>
        <r>
          <rPr>
            <sz val="9"/>
            <color indexed="81"/>
            <rFont val="Tahoma"/>
            <family val="2"/>
          </rPr>
          <t xml:space="preserve">
please explain cmments in KR</t>
        </r>
      </text>
    </comment>
    <comment ref="G64" authorId="0" shapeId="0" xr:uid="{00000000-0006-0000-0900-000069000000}">
      <text>
        <r>
          <rPr>
            <b/>
            <sz val="9"/>
            <color indexed="81"/>
            <rFont val="Tahoma"/>
            <family val="2"/>
          </rPr>
          <t>Ibe, Ochi:</t>
        </r>
        <r>
          <rPr>
            <sz val="9"/>
            <color indexed="81"/>
            <rFont val="Tahoma"/>
            <family val="2"/>
          </rPr>
          <t xml:space="preserve">
one outlier response of 15 mins please clarify</t>
        </r>
      </text>
    </comment>
    <comment ref="K65" authorId="3" shapeId="0" xr:uid="{00000000-0006-0000-0900-00006A000000}">
      <text>
        <r>
          <rPr>
            <b/>
            <sz val="9"/>
            <color indexed="81"/>
            <rFont val="Tahoma"/>
            <family val="2"/>
          </rPr>
          <t>Janvier Mungarulire:</t>
        </r>
        <r>
          <rPr>
            <sz val="9"/>
            <color indexed="81"/>
            <rFont val="Tahoma"/>
            <family val="2"/>
          </rPr>
          <t xml:space="preserve">
this is a mistake because in urban area it is not a common activity due to lack of land for kitchen gardens. Most of the time there is no demonstration which reduces the time spent on this activity to around 45 minutes</t>
        </r>
      </text>
    </comment>
    <comment ref="N65" authorId="0" shapeId="0" xr:uid="{00000000-0006-0000-0900-00006B000000}">
      <text>
        <r>
          <rPr>
            <b/>
            <sz val="9"/>
            <color indexed="81"/>
            <rFont val="Tahoma"/>
            <family val="2"/>
          </rPr>
          <t>Ibe, Ochi:</t>
        </r>
        <r>
          <rPr>
            <sz val="9"/>
            <color indexed="81"/>
            <rFont val="Tahoma"/>
            <family val="2"/>
          </rPr>
          <t xml:space="preserve">
this response seems to be out of place</t>
        </r>
      </text>
    </comment>
    <comment ref="E67" authorId="0" shapeId="0" xr:uid="{00000000-0006-0000-0900-00006C000000}">
      <text>
        <r>
          <rPr>
            <b/>
            <sz val="9"/>
            <color indexed="81"/>
            <rFont val="Tahoma"/>
            <family val="2"/>
          </rPr>
          <t>Ibe, Ochi:</t>
        </r>
        <r>
          <rPr>
            <sz val="9"/>
            <color indexed="81"/>
            <rFont val="Tahoma"/>
            <family val="2"/>
          </rPr>
          <t xml:space="preserve">
no response</t>
        </r>
      </text>
    </comment>
    <comment ref="I68" authorId="0" shapeId="0" xr:uid="{00000000-0006-0000-0900-00006D000000}">
      <text>
        <r>
          <rPr>
            <b/>
            <sz val="9"/>
            <color indexed="81"/>
            <rFont val="Tahoma"/>
            <family val="2"/>
          </rPr>
          <t>Ibe, Ochi:</t>
        </r>
        <r>
          <rPr>
            <sz val="9"/>
            <color indexed="81"/>
            <rFont val="Tahoma"/>
            <family val="2"/>
          </rPr>
          <t xml:space="preserve">
one response- 60mins</t>
        </r>
      </text>
    </comment>
    <comment ref="J70" authorId="0" shapeId="0" xr:uid="{00000000-0006-0000-0900-00006E000000}">
      <text>
        <r>
          <rPr>
            <b/>
            <sz val="9"/>
            <color indexed="81"/>
            <rFont val="Tahoma"/>
            <family val="2"/>
          </rPr>
          <t xml:space="preserve">Ibe, Ochi:
</t>
        </r>
        <r>
          <rPr>
            <sz val="9"/>
            <color indexed="81"/>
            <rFont val="Tahoma"/>
            <family val="2"/>
          </rPr>
          <t>range of responses. 2 person -20mins</t>
        </r>
        <r>
          <rPr>
            <b/>
            <sz val="9"/>
            <color indexed="81"/>
            <rFont val="Tahoma"/>
            <family val="2"/>
          </rPr>
          <t xml:space="preserve"> </t>
        </r>
      </text>
    </comment>
    <comment ref="P70" authorId="0" shapeId="0" xr:uid="{00000000-0006-0000-0900-00006F000000}">
      <text>
        <r>
          <rPr>
            <b/>
            <sz val="9"/>
            <color indexed="81"/>
            <rFont val="Tahoma"/>
            <family val="2"/>
          </rPr>
          <t>Ibe, Ochi:</t>
        </r>
        <r>
          <rPr>
            <sz val="9"/>
            <color indexed="81"/>
            <rFont val="Tahoma"/>
            <family val="2"/>
          </rPr>
          <t xml:space="preserve">
comments are in KR/ please translate</t>
        </r>
      </text>
    </comment>
    <comment ref="I72" authorId="0" shapeId="0" xr:uid="{00000000-0006-0000-0900-000070000000}">
      <text>
        <r>
          <rPr>
            <b/>
            <sz val="9"/>
            <color indexed="81"/>
            <rFont val="Tahoma"/>
            <family val="2"/>
          </rPr>
          <t>Ibe, Ochi:</t>
        </r>
        <r>
          <rPr>
            <sz val="9"/>
            <color indexed="81"/>
            <rFont val="Tahoma"/>
            <family val="2"/>
          </rPr>
          <t xml:space="preserve">
Responses are not captured clearly; please clarify</t>
        </r>
      </text>
    </comment>
    <comment ref="F73" authorId="0" shapeId="0" xr:uid="{00000000-0006-0000-0900-000071000000}">
      <text>
        <r>
          <rPr>
            <b/>
            <sz val="9"/>
            <color indexed="81"/>
            <rFont val="Tahoma"/>
            <family val="2"/>
          </rPr>
          <t>Ibe, Ochi:</t>
        </r>
        <r>
          <rPr>
            <sz val="9"/>
            <color indexed="81"/>
            <rFont val="Tahoma"/>
            <family val="2"/>
          </rPr>
          <t xml:space="preserve">
unclear data reporting. Please rectify?</t>
        </r>
      </text>
    </comment>
    <comment ref="I73" authorId="0" shapeId="0" xr:uid="{00000000-0006-0000-0900-000072000000}">
      <text>
        <r>
          <rPr>
            <b/>
            <sz val="9"/>
            <color indexed="81"/>
            <rFont val="Tahoma"/>
            <family val="2"/>
          </rPr>
          <t>Ibe, Ochi:</t>
        </r>
        <r>
          <rPr>
            <sz val="9"/>
            <color indexed="81"/>
            <rFont val="Tahoma"/>
            <family val="2"/>
          </rPr>
          <t xml:space="preserve">
unclear data reporting. Please rectify?</t>
        </r>
      </text>
    </comment>
    <comment ref="J76" authorId="0" shapeId="0" xr:uid="{00000000-0006-0000-0900-000073000000}">
      <text>
        <r>
          <rPr>
            <b/>
            <sz val="9"/>
            <color indexed="81"/>
            <rFont val="Tahoma"/>
            <family val="2"/>
          </rPr>
          <t>Ibe, Ochi:</t>
        </r>
        <r>
          <rPr>
            <sz val="9"/>
            <color indexed="81"/>
            <rFont val="Tahoma"/>
            <family val="2"/>
          </rPr>
          <t xml:space="preserve">
one response-45mins</t>
        </r>
      </text>
    </comment>
    <comment ref="G77" authorId="0" shapeId="0" xr:uid="{00000000-0006-0000-0900-000074000000}">
      <text>
        <r>
          <rPr>
            <b/>
            <sz val="9"/>
            <color indexed="81"/>
            <rFont val="Tahoma"/>
            <family val="2"/>
          </rPr>
          <t>Ibe, Ochi:</t>
        </r>
        <r>
          <rPr>
            <sz val="9"/>
            <color indexed="81"/>
            <rFont val="Tahoma"/>
            <family val="2"/>
          </rPr>
          <t xml:space="preserve">
it seems only one binome responded; please clarify</t>
        </r>
      </text>
    </comment>
    <comment ref="E78" authorId="0" shapeId="0" xr:uid="{00000000-0006-0000-0900-000075000000}">
      <text>
        <r>
          <rPr>
            <b/>
            <sz val="9"/>
            <color indexed="81"/>
            <rFont val="Tahoma"/>
            <family val="2"/>
          </rPr>
          <t>Ibe, Ochi:</t>
        </r>
        <r>
          <rPr>
            <sz val="9"/>
            <color indexed="81"/>
            <rFont val="Tahoma"/>
            <family val="2"/>
          </rPr>
          <t xml:space="preserve">
No response because question was inadvertently omitted from in charge questionnaire</t>
        </r>
      </text>
    </comment>
    <comment ref="H78" authorId="0" shapeId="0" xr:uid="{00000000-0006-0000-0900-000076000000}">
      <text>
        <r>
          <rPr>
            <b/>
            <sz val="9"/>
            <color indexed="81"/>
            <rFont val="Tahoma"/>
            <family val="2"/>
          </rPr>
          <t>Ibe, Ochi:</t>
        </r>
        <r>
          <rPr>
            <sz val="9"/>
            <color indexed="81"/>
            <rFont val="Tahoma"/>
            <family val="2"/>
          </rPr>
          <t xml:space="preserve">
question mistakenly ommitted in CHW incharge tool</t>
        </r>
      </text>
    </comment>
    <comment ref="I78" authorId="0" shapeId="0" xr:uid="{00000000-0006-0000-0900-000077000000}">
      <text>
        <r>
          <rPr>
            <b/>
            <sz val="9"/>
            <color indexed="81"/>
            <rFont val="Tahoma"/>
            <family val="2"/>
          </rPr>
          <t>Ibe, Ochi:</t>
        </r>
        <r>
          <rPr>
            <sz val="9"/>
            <color indexed="81"/>
            <rFont val="Tahoma"/>
            <family val="2"/>
          </rPr>
          <t xml:space="preserve">
data engtry is unclear; please correct</t>
        </r>
      </text>
    </comment>
    <comment ref="L78" authorId="0" shapeId="0" xr:uid="{00000000-0006-0000-0900-000078000000}">
      <text>
        <r>
          <rPr>
            <b/>
            <sz val="9"/>
            <color indexed="81"/>
            <rFont val="Tahoma"/>
            <family val="2"/>
          </rPr>
          <t>Ibe, Ochi:</t>
        </r>
        <r>
          <rPr>
            <sz val="9"/>
            <color indexed="81"/>
            <rFont val="Tahoma"/>
            <family val="2"/>
          </rPr>
          <t xml:space="preserve">
question omitted in CHW in charge tool</t>
        </r>
      </text>
    </comment>
    <comment ref="I79" authorId="0" shapeId="0" xr:uid="{00000000-0006-0000-0900-000079000000}">
      <text>
        <r>
          <rPr>
            <b/>
            <sz val="9"/>
            <color indexed="81"/>
            <rFont val="Tahoma"/>
            <family val="2"/>
          </rPr>
          <t>Ibe, Ochi:</t>
        </r>
        <r>
          <rPr>
            <sz val="9"/>
            <color indexed="81"/>
            <rFont val="Tahoma"/>
            <family val="2"/>
          </rPr>
          <t xml:space="preserve">
please confirm that time recorded here is per day and not per week (yes it is)</t>
        </r>
      </text>
    </comment>
    <comment ref="J79" authorId="0" shapeId="0" xr:uid="{00000000-0006-0000-0900-00007A000000}">
      <text>
        <r>
          <rPr>
            <b/>
            <sz val="9"/>
            <color indexed="81"/>
            <rFont val="Tahoma"/>
            <family val="2"/>
          </rPr>
          <t>Ibe, Ochi:</t>
        </r>
        <r>
          <rPr>
            <sz val="9"/>
            <color indexed="81"/>
            <rFont val="Tahoma"/>
            <family val="2"/>
          </rPr>
          <t xml:space="preserve">
response is not clear please clarify</t>
        </r>
      </text>
    </comment>
    <comment ref="K79" authorId="3" shapeId="0" xr:uid="{00000000-0006-0000-0900-00007B000000}">
      <text>
        <r>
          <rPr>
            <b/>
            <sz val="9"/>
            <color indexed="81"/>
            <rFont val="Tahoma"/>
            <family val="2"/>
          </rPr>
          <t>Janvier Mungarulire:</t>
        </r>
        <r>
          <rPr>
            <sz val="9"/>
            <color indexed="81"/>
            <rFont val="Tahoma"/>
            <family val="2"/>
          </rPr>
          <t xml:space="preserve">
this estimation is from calculating 6hrs per semester reported by some ASM and 6hrs per quarter reported by some binomes</t>
        </r>
      </text>
    </comment>
    <comment ref="N79" authorId="0" shapeId="0" xr:uid="{00000000-0006-0000-0900-00007C000000}">
      <text>
        <r>
          <rPr>
            <b/>
            <sz val="9"/>
            <color indexed="81"/>
            <rFont val="Tahoma"/>
            <family val="2"/>
          </rPr>
          <t>Ibe, Ochi:</t>
        </r>
        <r>
          <rPr>
            <sz val="9"/>
            <color indexed="81"/>
            <rFont val="Tahoma"/>
            <family val="2"/>
          </rPr>
          <t xml:space="preserve">
This answer is uncelar</t>
        </r>
      </text>
    </comment>
    <comment ref="O79" authorId="0" shapeId="0" xr:uid="{00000000-0006-0000-0900-00007D000000}">
      <text>
        <r>
          <rPr>
            <b/>
            <sz val="9"/>
            <color indexed="81"/>
            <rFont val="Tahoma"/>
            <family val="2"/>
          </rPr>
          <t>Ibe, Ochi:</t>
        </r>
        <r>
          <rPr>
            <sz val="9"/>
            <color indexed="81"/>
            <rFont val="Tahoma"/>
            <family val="2"/>
          </rPr>
          <t xml:space="preserve">
comments are in KR and refer to some activities; please clarify</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Zina Jarrah</author>
  </authors>
  <commentList>
    <comment ref="F4" authorId="0" shapeId="0" xr:uid="{00000000-0006-0000-0F00-000001000000}">
      <text>
        <r>
          <rPr>
            <b/>
            <sz val="9"/>
            <color indexed="81"/>
            <rFont val="Tahoma"/>
            <family val="2"/>
          </rPr>
          <t>Expected number of services is calculated by multiplying the incidence rate by the target population for each service (both set on the Package worksheet).</t>
        </r>
      </text>
    </comment>
  </commentList>
</comments>
</file>

<file path=xl/sharedStrings.xml><?xml version="1.0" encoding="utf-8"?>
<sst xmlns="http://schemas.openxmlformats.org/spreadsheetml/2006/main" count="3046" uniqueCount="1589">
  <si>
    <t>Mode</t>
  </si>
  <si>
    <t>Policy</t>
  </si>
  <si>
    <t>Time usage options</t>
  </si>
  <si>
    <t>Number of different categories of Community Health Worker:</t>
  </si>
  <si>
    <t>Travel time</t>
  </si>
  <si>
    <t>Time spent on administrative tasks</t>
  </si>
  <si>
    <t>Hours per week</t>
  </si>
  <si>
    <t>Select method of calculating number of CHWs:</t>
  </si>
  <si>
    <t>CHW per Population</t>
  </si>
  <si>
    <t>Time spent on campaigns</t>
  </si>
  <si>
    <t>Days per year</t>
  </si>
  <si>
    <t>Time spent in trainings</t>
  </si>
  <si>
    <t>Hours per month</t>
  </si>
  <si>
    <t>CHW 1 title:</t>
  </si>
  <si>
    <t>Assistante Maternelle de Santé</t>
  </si>
  <si>
    <t>Abbreviation:</t>
  </si>
  <si>
    <t>ASM</t>
  </si>
  <si>
    <t>Urban / Rural CHW:</t>
  </si>
  <si>
    <t>Rural</t>
  </si>
  <si>
    <t>Desired ratio of CHWs per population (i.e. one CHW per X population):</t>
  </si>
  <si>
    <t>Desired ratio of CHWs per Community (i.e. X CHWs per Village):</t>
  </si>
  <si>
    <t>Annual CHW Attrition Rate (%):</t>
  </si>
  <si>
    <t>CHW working hours / week:</t>
  </si>
  <si>
    <t>CHW 2 title:</t>
  </si>
  <si>
    <t>Binôme</t>
  </si>
  <si>
    <t>Binome</t>
  </si>
  <si>
    <t>Urban</t>
  </si>
  <si>
    <t>CHW 3 title:</t>
  </si>
  <si>
    <t>CHW 4 title:</t>
  </si>
  <si>
    <t>CHW 5 title:</t>
  </si>
  <si>
    <t>CHW 6 title:</t>
  </si>
  <si>
    <t>Program Scale-up assumptions</t>
  </si>
  <si>
    <t>% population in urban areas targeted by CHW services</t>
  </si>
  <si>
    <t>% population in rural areas targeted by CHW services</t>
  </si>
  <si>
    <t>% population in all areas targeted by CHW services</t>
  </si>
  <si>
    <t>Population in urban areas covered</t>
  </si>
  <si>
    <t>Population in rural areas covered</t>
  </si>
  <si>
    <t>Total population covered by CHW services</t>
  </si>
  <si>
    <t>% total population targeted by CHW services</t>
  </si>
  <si>
    <t>Service / Intervention</t>
  </si>
  <si>
    <t>Program</t>
  </si>
  <si>
    <t>Target population</t>
  </si>
  <si>
    <t>Service Type</t>
  </si>
  <si>
    <t>Urban/Rural</t>
  </si>
  <si>
    <t>Expected Utilization Rate</t>
  </si>
  <si>
    <t>Number of visits</t>
  </si>
  <si>
    <t>Minutes per visit</t>
  </si>
  <si>
    <t>Female Rep Age</t>
  </si>
  <si>
    <t>Postpartum Women</t>
  </si>
  <si>
    <t>Pregnant Women</t>
  </si>
  <si>
    <t>Newborns</t>
  </si>
  <si>
    <t>Children 2-59 months</t>
  </si>
  <si>
    <t>Adults &gt;5</t>
  </si>
  <si>
    <t>Children &lt;1</t>
  </si>
  <si>
    <t>Children 6-59 months</t>
  </si>
  <si>
    <t>Household</t>
  </si>
  <si>
    <t>I. Country Information</t>
  </si>
  <si>
    <t>Rwanda</t>
  </si>
  <si>
    <t>Do not delete!</t>
  </si>
  <si>
    <t>Annual population growth rate</t>
  </si>
  <si>
    <t>II. Community Health Program Information</t>
  </si>
  <si>
    <t>Length of Program (number of projection years)</t>
  </si>
  <si>
    <t>Date of analysis</t>
  </si>
  <si>
    <t>Is this a sub-national analysis?</t>
  </si>
  <si>
    <t>N</t>
  </si>
  <si>
    <t>Name of sub-national area</t>
  </si>
  <si>
    <t>Example</t>
  </si>
  <si>
    <t>Does the program cover both rural and urban areas?</t>
  </si>
  <si>
    <t>Rural and urban areas covered with same package</t>
  </si>
  <si>
    <t>All Community Health Programs</t>
  </si>
  <si>
    <t>Abbreviation</t>
  </si>
  <si>
    <t>Source</t>
  </si>
  <si>
    <t>COVERAGE AT BASELINE</t>
  </si>
  <si>
    <t>COVERAGE TARGETS</t>
  </si>
  <si>
    <t>Service</t>
  </si>
  <si>
    <t>Target Population</t>
  </si>
  <si>
    <t>Total Population per CHW</t>
  </si>
  <si>
    <t>Top 10 interventions, ranked by total time needed to deliver services</t>
  </si>
  <si>
    <t>D</t>
  </si>
  <si>
    <t>E</t>
  </si>
  <si>
    <t>F</t>
  </si>
  <si>
    <t>G</t>
  </si>
  <si>
    <t>H</t>
  </si>
  <si>
    <t>I</t>
  </si>
  <si>
    <t>J</t>
  </si>
  <si>
    <t>K</t>
  </si>
  <si>
    <t>L</t>
  </si>
  <si>
    <t>M</t>
  </si>
  <si>
    <t>Working days per week</t>
  </si>
  <si>
    <t>Hours per day worked</t>
  </si>
  <si>
    <t>Time available (minutes per year)</t>
  </si>
  <si>
    <t>x</t>
  </si>
  <si>
    <t>Minutes spent on service delivery</t>
  </si>
  <si>
    <t>Minutes spent on travel</t>
  </si>
  <si>
    <t>Minutes spent on administration</t>
  </si>
  <si>
    <t>Minutes spent on campaigns</t>
  </si>
  <si>
    <t>Minutes spent on training</t>
  </si>
  <si>
    <t>Minutes spent on mobilization/sensitization</t>
  </si>
  <si>
    <t>Total minutes spent actively</t>
  </si>
  <si>
    <t>Total</t>
  </si>
  <si>
    <t>Administrative time entry</t>
  </si>
  <si>
    <t>% of overall time available</t>
  </si>
  <si>
    <t>Campaigns</t>
  </si>
  <si>
    <t>Training</t>
  </si>
  <si>
    <t>Community/neighborhood meetings</t>
  </si>
  <si>
    <t>Days per week</t>
  </si>
  <si>
    <t>Days per month</t>
  </si>
  <si>
    <t>CHW types</t>
  </si>
  <si>
    <t>COMMUNITY HEALTH WORKER NUMBERS</t>
  </si>
  <si>
    <t>Target communities</t>
  </si>
  <si>
    <t>Calculate per Population</t>
  </si>
  <si>
    <t>Calculate per Community</t>
  </si>
  <si>
    <t>SUMMARY - CHW Numbers per Year</t>
  </si>
  <si>
    <t>All CHWs</t>
  </si>
  <si>
    <t>Urban CHWs</t>
  </si>
  <si>
    <t>Rural CHWs</t>
  </si>
  <si>
    <t>SUMMARY - CHWs to Train per Year</t>
  </si>
  <si>
    <t>SUMMARY - CHW numbers based on per community ratio or population ratio</t>
  </si>
  <si>
    <t>CHW Category</t>
  </si>
  <si>
    <t>Time per Service (min)</t>
  </si>
  <si>
    <t>TOTAL</t>
  </si>
  <si>
    <t>TIME USE OF CHWS</t>
  </si>
  <si>
    <t>Total time required for CHWs to provide services (hours)</t>
  </si>
  <si>
    <t>Total time required for CHWs to perform all activities (hours)</t>
  </si>
  <si>
    <t>Total time required for CHWs to perform all activities (days)</t>
  </si>
  <si>
    <t>Service delivery</t>
  </si>
  <si>
    <t>Travel</t>
  </si>
  <si>
    <t>Administration</t>
  </si>
  <si>
    <t>Community activities</t>
  </si>
  <si>
    <t>SUMMARY BY CHW AND SUPERVISOR</t>
  </si>
  <si>
    <t>Number of CHWs and Supervisors</t>
  </si>
  <si>
    <t>Services per CHW category</t>
  </si>
  <si>
    <t>Services per CHW category (%)</t>
  </si>
  <si>
    <t>Total time required for CHWs to provide services  - WITH "ALL CHW" SERVICES ALLOCATED (hours)</t>
  </si>
  <si>
    <t>Total CHW Availability per year (hours)</t>
  </si>
  <si>
    <t>% of CHW Available Time spent on Services</t>
  </si>
  <si>
    <t>Overall % of CHW Time spent on Services</t>
  </si>
  <si>
    <r>
      <t xml:space="preserve">Country Database - </t>
    </r>
    <r>
      <rPr>
        <b/>
        <i/>
        <sz val="11"/>
        <color theme="0"/>
        <rFont val="Calibri"/>
        <family val="2"/>
        <scheme val="minor"/>
      </rPr>
      <t>all figures for 2015 unless otherwise noted</t>
    </r>
  </si>
  <si>
    <t>Last updated:</t>
  </si>
  <si>
    <t>Source: IMF</t>
  </si>
  <si>
    <t>Source: UNPD</t>
  </si>
  <si>
    <t>(2010-2015)</t>
  </si>
  <si>
    <t>2013 data</t>
  </si>
  <si>
    <t>ISO Code</t>
  </si>
  <si>
    <t>Country Code</t>
  </si>
  <si>
    <t>Country Name</t>
  </si>
  <si>
    <t>National Currency</t>
  </si>
  <si>
    <t>National Currency (ISO Code)</t>
  </si>
  <si>
    <t>Exchange Rate per USD</t>
  </si>
  <si>
    <t>Crude Birth Rate (per 1,000 population)</t>
  </si>
  <si>
    <t>Maternal Mortality Rate (per 100,000 live births)</t>
  </si>
  <si>
    <t>Neonatal Mortality Rate (per 1,000 live births)</t>
  </si>
  <si>
    <t>Under-5 Mortality Rate (per 1,000 live births)</t>
  </si>
  <si>
    <t>Total Male Population '000</t>
  </si>
  <si>
    <t>Total Female Population '000</t>
  </si>
  <si>
    <t>Males 0-1</t>
  </si>
  <si>
    <t>Males 0-4</t>
  </si>
  <si>
    <t>0-14</t>
  </si>
  <si>
    <t>0-24</t>
  </si>
  <si>
    <t>Males 5-10</t>
  </si>
  <si>
    <t>Males 5-14</t>
  </si>
  <si>
    <t>Males 15+</t>
  </si>
  <si>
    <t>Males 15-24</t>
  </si>
  <si>
    <t>Males 15-49</t>
  </si>
  <si>
    <t>Males 15-59</t>
  </si>
  <si>
    <t>15-64</t>
  </si>
  <si>
    <t>Males 25-49</t>
  </si>
  <si>
    <t>25-64</t>
  </si>
  <si>
    <t>25-69</t>
  </si>
  <si>
    <t>Males 50+</t>
  </si>
  <si>
    <t>Male 65+</t>
  </si>
  <si>
    <t>Females 0-1</t>
  </si>
  <si>
    <t>Females 0-4</t>
  </si>
  <si>
    <t>Females 5-10</t>
  </si>
  <si>
    <t>Females 5-14</t>
  </si>
  <si>
    <t>Females 15+</t>
  </si>
  <si>
    <t>Females 15-24</t>
  </si>
  <si>
    <t>Females 15-49</t>
  </si>
  <si>
    <t>Females 15-59</t>
  </si>
  <si>
    <t>Females 25-49</t>
  </si>
  <si>
    <t>Females 50+</t>
  </si>
  <si>
    <t>65+</t>
  </si>
  <si>
    <t>AFG</t>
  </si>
  <si>
    <t>Afghanistan</t>
  </si>
  <si>
    <t>Afghani</t>
  </si>
  <si>
    <t>AFN</t>
  </si>
  <si>
    <t>ALB</t>
  </si>
  <si>
    <t>Albania</t>
  </si>
  <si>
    <t>Lek</t>
  </si>
  <si>
    <t>ALL</t>
  </si>
  <si>
    <t>DZA</t>
  </si>
  <si>
    <t>Algeria</t>
  </si>
  <si>
    <t>Algerian Dinar</t>
  </si>
  <si>
    <t>DZD</t>
  </si>
  <si>
    <t>AND</t>
  </si>
  <si>
    <t>Andorra</t>
  </si>
  <si>
    <t>Euro</t>
  </si>
  <si>
    <t>EUR</t>
  </si>
  <si>
    <t>AGO</t>
  </si>
  <si>
    <t>Angola</t>
  </si>
  <si>
    <t>Kwanza</t>
  </si>
  <si>
    <t>AOA</t>
  </si>
  <si>
    <t>ATG</t>
  </si>
  <si>
    <t>Antigua and Barbuda</t>
  </si>
  <si>
    <t>East Caribbean Dollar</t>
  </si>
  <si>
    <t>XCD</t>
  </si>
  <si>
    <t>ARG</t>
  </si>
  <si>
    <t>Argentina</t>
  </si>
  <si>
    <t>Argentine Peso</t>
  </si>
  <si>
    <t>ARS</t>
  </si>
  <si>
    <t>ARM</t>
  </si>
  <si>
    <t>Armenia</t>
  </si>
  <si>
    <t>Armenian Dram</t>
  </si>
  <si>
    <t>AMD</t>
  </si>
  <si>
    <t>AUS</t>
  </si>
  <si>
    <t>Australia</t>
  </si>
  <si>
    <t>Australian Dollar</t>
  </si>
  <si>
    <t>AUD</t>
  </si>
  <si>
    <t>AUT</t>
  </si>
  <si>
    <t>Austria</t>
  </si>
  <si>
    <t>AZE</t>
  </si>
  <si>
    <t>Azerbaijan</t>
  </si>
  <si>
    <t>Azerbaijanian Manat</t>
  </si>
  <si>
    <t>AZN</t>
  </si>
  <si>
    <t>BHS</t>
  </si>
  <si>
    <t>Bahamas</t>
  </si>
  <si>
    <t>Bahamian Dollar</t>
  </si>
  <si>
    <t>BSD</t>
  </si>
  <si>
    <t>BHR</t>
  </si>
  <si>
    <t>Bahrain</t>
  </si>
  <si>
    <t>Bahraini Dinar</t>
  </si>
  <si>
    <t>BHD</t>
  </si>
  <si>
    <t>BGD</t>
  </si>
  <si>
    <t>Bangladesh</t>
  </si>
  <si>
    <t>Bangladeshi Taka</t>
  </si>
  <si>
    <t>BDT</t>
  </si>
  <si>
    <t>BRB</t>
  </si>
  <si>
    <t>Barbados</t>
  </si>
  <si>
    <t>Barbados Dollar</t>
  </si>
  <si>
    <t>BBD</t>
  </si>
  <si>
    <t>BLR</t>
  </si>
  <si>
    <t>Belarus</t>
  </si>
  <si>
    <t>Belarussian Ruble</t>
  </si>
  <si>
    <t>BYR</t>
  </si>
  <si>
    <t>BEL</t>
  </si>
  <si>
    <t>Belgium</t>
  </si>
  <si>
    <t>BLZ</t>
  </si>
  <si>
    <t>Belize</t>
  </si>
  <si>
    <t>Belize Dollar</t>
  </si>
  <si>
    <t>BZD</t>
  </si>
  <si>
    <t>BEN</t>
  </si>
  <si>
    <t>Benin</t>
  </si>
  <si>
    <t>CFA Franc BCEAO</t>
  </si>
  <si>
    <t>XOF</t>
  </si>
  <si>
    <t>BTN</t>
  </si>
  <si>
    <t>Bhutan</t>
  </si>
  <si>
    <t>Ngultrum</t>
  </si>
  <si>
    <t>BOL</t>
  </si>
  <si>
    <t>Bolivia (Plurinational State of)</t>
  </si>
  <si>
    <t>Boliviano</t>
  </si>
  <si>
    <t>BOB</t>
  </si>
  <si>
    <t>BIH</t>
  </si>
  <si>
    <t>Bosnia and Herzegovina</t>
  </si>
  <si>
    <t>Convertible Marks</t>
  </si>
  <si>
    <t>BAM</t>
  </si>
  <si>
    <t>BWA</t>
  </si>
  <si>
    <t>Botswana</t>
  </si>
  <si>
    <t>Pula</t>
  </si>
  <si>
    <t>BWP</t>
  </si>
  <si>
    <t>BRA</t>
  </si>
  <si>
    <t>Brazil</t>
  </si>
  <si>
    <t>Brazilian Real</t>
  </si>
  <si>
    <t>BRL</t>
  </si>
  <si>
    <t>BRN</t>
  </si>
  <si>
    <t>Brunei Darussalam</t>
  </si>
  <si>
    <t>Brunei Dollar</t>
  </si>
  <si>
    <t>BND</t>
  </si>
  <si>
    <t>BGR</t>
  </si>
  <si>
    <t>Bulgaria</t>
  </si>
  <si>
    <t>Bulgarian Lev</t>
  </si>
  <si>
    <t>BGN</t>
  </si>
  <si>
    <t>BFA</t>
  </si>
  <si>
    <t>Burkina Faso</t>
  </si>
  <si>
    <t>BDI</t>
  </si>
  <si>
    <t>Burundi</t>
  </si>
  <si>
    <t>Burundian Franc</t>
  </si>
  <si>
    <t>BIF</t>
  </si>
  <si>
    <t>CPV</t>
  </si>
  <si>
    <t>Cabo Verde</t>
  </si>
  <si>
    <t>Cape Verde Escudo</t>
  </si>
  <si>
    <t>CVE</t>
  </si>
  <si>
    <t>KHM</t>
  </si>
  <si>
    <t>Cambodia</t>
  </si>
  <si>
    <t>Riel</t>
  </si>
  <si>
    <t>KHR</t>
  </si>
  <si>
    <t>CMR</t>
  </si>
  <si>
    <t>Cameroon</t>
  </si>
  <si>
    <t>CFA Franc BEAC</t>
  </si>
  <si>
    <t>XAF</t>
  </si>
  <si>
    <t>CAN</t>
  </si>
  <si>
    <t>Canada</t>
  </si>
  <si>
    <t>Canadian Dollar</t>
  </si>
  <si>
    <t>CAD</t>
  </si>
  <si>
    <t>CAF</t>
  </si>
  <si>
    <t>Central African Republic</t>
  </si>
  <si>
    <t>TCD</t>
  </si>
  <si>
    <t>Chad</t>
  </si>
  <si>
    <t>CHL</t>
  </si>
  <si>
    <t>Chile</t>
  </si>
  <si>
    <t>Unidades de formento (Funds code)</t>
  </si>
  <si>
    <t>CLF</t>
  </si>
  <si>
    <t>CHN</t>
  </si>
  <si>
    <t>China</t>
  </si>
  <si>
    <t>Yuan Renminbi</t>
  </si>
  <si>
    <t>CNY</t>
  </si>
  <si>
    <t>COL</t>
  </si>
  <si>
    <t>Colombia</t>
  </si>
  <si>
    <t>Colombian Peso</t>
  </si>
  <si>
    <t>COP</t>
  </si>
  <si>
    <t>COM</t>
  </si>
  <si>
    <t>Comoros</t>
  </si>
  <si>
    <t>Comoro Franc</t>
  </si>
  <si>
    <t>KMF</t>
  </si>
  <si>
    <t>COG</t>
  </si>
  <si>
    <t>Congo</t>
  </si>
  <si>
    <t>COK</t>
  </si>
  <si>
    <t>Cook Islands</t>
  </si>
  <si>
    <t>New Zealand Dollar</t>
  </si>
  <si>
    <t>NZD</t>
  </si>
  <si>
    <t>CRI</t>
  </si>
  <si>
    <t>Costa Rica</t>
  </si>
  <si>
    <t>Costa Rican Colon</t>
  </si>
  <si>
    <t>CRC</t>
  </si>
  <si>
    <t>CIV</t>
  </si>
  <si>
    <t>Cote d'Ivoire</t>
  </si>
  <si>
    <t>HRV</t>
  </si>
  <si>
    <t>Croatia</t>
  </si>
  <si>
    <t>Croatian Kuna</t>
  </si>
  <si>
    <t>HRK</t>
  </si>
  <si>
    <t>CUB</t>
  </si>
  <si>
    <t>Cuba</t>
  </si>
  <si>
    <t>Cuban Peso</t>
  </si>
  <si>
    <t>CUP</t>
  </si>
  <si>
    <t>CYP</t>
  </si>
  <si>
    <t>Cyprus</t>
  </si>
  <si>
    <t>Cyprus Pound</t>
  </si>
  <si>
    <t>CZE</t>
  </si>
  <si>
    <t>Czech Republic</t>
  </si>
  <si>
    <t>Czech Koruna</t>
  </si>
  <si>
    <t>CZK</t>
  </si>
  <si>
    <t>PRK</t>
  </si>
  <si>
    <t>Democratic People's Republic of Korea</t>
  </si>
  <si>
    <t>North Korean Won</t>
  </si>
  <si>
    <t>KPW</t>
  </si>
  <si>
    <t>COD</t>
  </si>
  <si>
    <t>Democratic Republic of the Congo</t>
  </si>
  <si>
    <t>Franc Congolais</t>
  </si>
  <si>
    <t>CDF</t>
  </si>
  <si>
    <t>DNK</t>
  </si>
  <si>
    <t>Denmark</t>
  </si>
  <si>
    <t>Danish Krone</t>
  </si>
  <si>
    <t>DKK</t>
  </si>
  <si>
    <t>DJI</t>
  </si>
  <si>
    <t>Djibouti</t>
  </si>
  <si>
    <t>Djibouti Franc</t>
  </si>
  <si>
    <t>DJF</t>
  </si>
  <si>
    <t>DMA</t>
  </si>
  <si>
    <t>Dominica</t>
  </si>
  <si>
    <t>DOM</t>
  </si>
  <si>
    <t>Dominican Republic</t>
  </si>
  <si>
    <t>Dominican Peso</t>
  </si>
  <si>
    <t>DOP</t>
  </si>
  <si>
    <t>ECU</t>
  </si>
  <si>
    <t>Ecuador</t>
  </si>
  <si>
    <t>US Dollar</t>
  </si>
  <si>
    <t>USD</t>
  </si>
  <si>
    <t>EGY</t>
  </si>
  <si>
    <t>Egypt</t>
  </si>
  <si>
    <t>Egyptian Pound</t>
  </si>
  <si>
    <t>EGP</t>
  </si>
  <si>
    <t>SLV</t>
  </si>
  <si>
    <t>El Salvador</t>
  </si>
  <si>
    <t>GNQ</t>
  </si>
  <si>
    <t>Equatorial Guinea</t>
  </si>
  <si>
    <t>ERI</t>
  </si>
  <si>
    <t>Eritrea</t>
  </si>
  <si>
    <t>Nakfa</t>
  </si>
  <si>
    <t>ERN</t>
  </si>
  <si>
    <t>EST</t>
  </si>
  <si>
    <t>Estonia</t>
  </si>
  <si>
    <t>Kroon</t>
  </si>
  <si>
    <t>EEK</t>
  </si>
  <si>
    <t>ETH</t>
  </si>
  <si>
    <t>Ethiopia</t>
  </si>
  <si>
    <t>Ethiopian Birr</t>
  </si>
  <si>
    <t>ETB</t>
  </si>
  <si>
    <t>NA</t>
  </si>
  <si>
    <t>Francs</t>
  </si>
  <si>
    <t>FRC</t>
  </si>
  <si>
    <t>FJI</t>
  </si>
  <si>
    <t>Fiji</t>
  </si>
  <si>
    <t>Fiji Dollar</t>
  </si>
  <si>
    <t>FJD</t>
  </si>
  <si>
    <t>FIN</t>
  </si>
  <si>
    <t>Finland</t>
  </si>
  <si>
    <t>FRA</t>
  </si>
  <si>
    <t>France</t>
  </si>
  <si>
    <t>GAB</t>
  </si>
  <si>
    <t>Gabon</t>
  </si>
  <si>
    <t>GMB</t>
  </si>
  <si>
    <t>Gambia</t>
  </si>
  <si>
    <t>Dalasi</t>
  </si>
  <si>
    <t>GMD</t>
  </si>
  <si>
    <t>GEO</t>
  </si>
  <si>
    <t>Georgia</t>
  </si>
  <si>
    <t>Lari</t>
  </si>
  <si>
    <t>GEL</t>
  </si>
  <si>
    <t>DEU</t>
  </si>
  <si>
    <t>Germany</t>
  </si>
  <si>
    <t>GHA</t>
  </si>
  <si>
    <t>Ghana</t>
  </si>
  <si>
    <t>Cedi</t>
  </si>
  <si>
    <t>GHS</t>
  </si>
  <si>
    <t>GRC</t>
  </si>
  <si>
    <t>Greece</t>
  </si>
  <si>
    <t>GRD</t>
  </si>
  <si>
    <t>Grenada</t>
  </si>
  <si>
    <t>GTM</t>
  </si>
  <si>
    <t>Guatemala</t>
  </si>
  <si>
    <t>Quetzal</t>
  </si>
  <si>
    <t>GTQ</t>
  </si>
  <si>
    <t>GIN</t>
  </si>
  <si>
    <t>Guinea</t>
  </si>
  <si>
    <t>Guinea Franc</t>
  </si>
  <si>
    <t>GNF</t>
  </si>
  <si>
    <t>GNB</t>
  </si>
  <si>
    <t>Guinea-Bissau</t>
  </si>
  <si>
    <t>GUY</t>
  </si>
  <si>
    <t>Guyana</t>
  </si>
  <si>
    <t>Guyana Dollar</t>
  </si>
  <si>
    <t>GYD</t>
  </si>
  <si>
    <t>HTI</t>
  </si>
  <si>
    <t>Haiti</t>
  </si>
  <si>
    <t>Haiti Gourde</t>
  </si>
  <si>
    <t>HTG</t>
  </si>
  <si>
    <t>HND</t>
  </si>
  <si>
    <t>Honduras</t>
  </si>
  <si>
    <t>Lempira</t>
  </si>
  <si>
    <t>HNL</t>
  </si>
  <si>
    <t>HUN</t>
  </si>
  <si>
    <t>Hungary</t>
  </si>
  <si>
    <t>Forint</t>
  </si>
  <si>
    <t>HUF</t>
  </si>
  <si>
    <t>ISL</t>
  </si>
  <si>
    <t>Iceland</t>
  </si>
  <si>
    <t>Iceland Krona</t>
  </si>
  <si>
    <t>ISK</t>
  </si>
  <si>
    <t>IND</t>
  </si>
  <si>
    <t>India</t>
  </si>
  <si>
    <t>Indian Rupee</t>
  </si>
  <si>
    <t>INR</t>
  </si>
  <si>
    <t>IDN</t>
  </si>
  <si>
    <t>Indonesia</t>
  </si>
  <si>
    <t>Rupiah</t>
  </si>
  <si>
    <t>IDR</t>
  </si>
  <si>
    <t>IRN</t>
  </si>
  <si>
    <t>Iran (Islamic Republic of)</t>
  </si>
  <si>
    <t>Iranian Rial</t>
  </si>
  <si>
    <t>IRR</t>
  </si>
  <si>
    <t>IRQ</t>
  </si>
  <si>
    <t>Iraq</t>
  </si>
  <si>
    <t>Iraqi Dinar</t>
  </si>
  <si>
    <t>IQD</t>
  </si>
  <si>
    <t>IRL</t>
  </si>
  <si>
    <t>Ireland</t>
  </si>
  <si>
    <t>ISR</t>
  </si>
  <si>
    <t>Israel</t>
  </si>
  <si>
    <t>New Israeli Shekel</t>
  </si>
  <si>
    <t>ILS</t>
  </si>
  <si>
    <t>ITA</t>
  </si>
  <si>
    <t>Italy</t>
  </si>
  <si>
    <t>JAM</t>
  </si>
  <si>
    <t>Jamaica</t>
  </si>
  <si>
    <t>Jamaican Dollar</t>
  </si>
  <si>
    <t>JMD</t>
  </si>
  <si>
    <t>JPN</t>
  </si>
  <si>
    <t>Japan</t>
  </si>
  <si>
    <t>Japanese yen</t>
  </si>
  <si>
    <t>JPY</t>
  </si>
  <si>
    <t>JOR</t>
  </si>
  <si>
    <t>Jordan</t>
  </si>
  <si>
    <t>Jordanian Dinar</t>
  </si>
  <si>
    <t>JOD</t>
  </si>
  <si>
    <t>KAZ</t>
  </si>
  <si>
    <t>Kazakhstan</t>
  </si>
  <si>
    <t>Tenge</t>
  </si>
  <si>
    <t>KZT</t>
  </si>
  <si>
    <t>KEN</t>
  </si>
  <si>
    <t>Kenya</t>
  </si>
  <si>
    <t>Kenyan Shilling</t>
  </si>
  <si>
    <t>KES</t>
  </si>
  <si>
    <t>KIR</t>
  </si>
  <si>
    <t>Kiribati</t>
  </si>
  <si>
    <t>KWT</t>
  </si>
  <si>
    <t>Kuwait</t>
  </si>
  <si>
    <t>Kuwaiti Dinar</t>
  </si>
  <si>
    <t>KWD</t>
  </si>
  <si>
    <t>KGZ</t>
  </si>
  <si>
    <t>Kyrgyzstan</t>
  </si>
  <si>
    <t>Som</t>
  </si>
  <si>
    <t>KGS</t>
  </si>
  <si>
    <t>LAO</t>
  </si>
  <si>
    <t>Lao People's Democratic Republic</t>
  </si>
  <si>
    <t>Kip</t>
  </si>
  <si>
    <t>LAK</t>
  </si>
  <si>
    <t>LVA</t>
  </si>
  <si>
    <t>Latvia</t>
  </si>
  <si>
    <t>Latvian Lats</t>
  </si>
  <si>
    <t>LVL</t>
  </si>
  <si>
    <t>LBN</t>
  </si>
  <si>
    <t>Lebanon</t>
  </si>
  <si>
    <t>Lebanese Pound</t>
  </si>
  <si>
    <t>LBP</t>
  </si>
  <si>
    <t>LSO</t>
  </si>
  <si>
    <t>Lesotho</t>
  </si>
  <si>
    <t>Loti</t>
  </si>
  <si>
    <t>LSL</t>
  </si>
  <si>
    <t>LBR</t>
  </si>
  <si>
    <t>Liberia</t>
  </si>
  <si>
    <t>Liberian Dollar</t>
  </si>
  <si>
    <t>LRD</t>
  </si>
  <si>
    <t>LBY</t>
  </si>
  <si>
    <t>Libya</t>
  </si>
  <si>
    <t>Libyan Dinar</t>
  </si>
  <si>
    <t>LYD</t>
  </si>
  <si>
    <t>LIE</t>
  </si>
  <si>
    <t>Liechtenstein</t>
  </si>
  <si>
    <t>Swiss Franc</t>
  </si>
  <si>
    <t>CHF</t>
  </si>
  <si>
    <t>LTU</t>
  </si>
  <si>
    <t>Lithuania</t>
  </si>
  <si>
    <t>Lithuanian Litas</t>
  </si>
  <si>
    <t>LTL</t>
  </si>
  <si>
    <t>LUX</t>
  </si>
  <si>
    <t>Luxembourg</t>
  </si>
  <si>
    <t>MDG</t>
  </si>
  <si>
    <t>Madagascar</t>
  </si>
  <si>
    <t>Malagasy Ariary</t>
  </si>
  <si>
    <t>MGA</t>
  </si>
  <si>
    <t>MWI</t>
  </si>
  <si>
    <t>Malawi</t>
  </si>
  <si>
    <t>Kwacha</t>
  </si>
  <si>
    <t>MWK</t>
  </si>
  <si>
    <t>MYS</t>
  </si>
  <si>
    <t>Malaysia</t>
  </si>
  <si>
    <t>Malaysian Ringgit</t>
  </si>
  <si>
    <t>MYR</t>
  </si>
  <si>
    <t>MDV</t>
  </si>
  <si>
    <t>Maldives</t>
  </si>
  <si>
    <t>Rufiyaa</t>
  </si>
  <si>
    <t>MVR</t>
  </si>
  <si>
    <t>MLI</t>
  </si>
  <si>
    <t>Mali</t>
  </si>
  <si>
    <t>MLT</t>
  </si>
  <si>
    <t>Malta</t>
  </si>
  <si>
    <t>Maltese Lira</t>
  </si>
  <si>
    <t>MTL</t>
  </si>
  <si>
    <t>MHL</t>
  </si>
  <si>
    <t>Marshall Islands</t>
  </si>
  <si>
    <t>MRT</t>
  </si>
  <si>
    <t>Mauritania</t>
  </si>
  <si>
    <t>Ouguiya</t>
  </si>
  <si>
    <t>MRO</t>
  </si>
  <si>
    <t>MUS</t>
  </si>
  <si>
    <t>Mauritius</t>
  </si>
  <si>
    <t>Mauritius Rupee</t>
  </si>
  <si>
    <t>MUR</t>
  </si>
  <si>
    <t>MEX</t>
  </si>
  <si>
    <t>Mexico</t>
  </si>
  <si>
    <t>Mexican Peso</t>
  </si>
  <si>
    <t>MXN</t>
  </si>
  <si>
    <t>FSM</t>
  </si>
  <si>
    <t>Micronesia (Federated States of)</t>
  </si>
  <si>
    <t>MCO</t>
  </si>
  <si>
    <t>Monaco</t>
  </si>
  <si>
    <t>MNG</t>
  </si>
  <si>
    <t>Mongolia</t>
  </si>
  <si>
    <t>Tugrik</t>
  </si>
  <si>
    <t>MNT</t>
  </si>
  <si>
    <t>MNE</t>
  </si>
  <si>
    <t>Montenegro</t>
  </si>
  <si>
    <t>MAR</t>
  </si>
  <si>
    <t>Morocco</t>
  </si>
  <si>
    <t>Moroccan Dirham</t>
  </si>
  <si>
    <t>MAD</t>
  </si>
  <si>
    <t>MOZ</t>
  </si>
  <si>
    <t>Mozambique</t>
  </si>
  <si>
    <t>Metical</t>
  </si>
  <si>
    <t>MZN</t>
  </si>
  <si>
    <t>MMR</t>
  </si>
  <si>
    <t>Myanmar</t>
  </si>
  <si>
    <t>Kyat</t>
  </si>
  <si>
    <t>MMK</t>
  </si>
  <si>
    <t>NAM</t>
  </si>
  <si>
    <t>Namibia</t>
  </si>
  <si>
    <t>Namibian Dollar</t>
  </si>
  <si>
    <t>NAD</t>
  </si>
  <si>
    <t>NRU</t>
  </si>
  <si>
    <t>Nauru</t>
  </si>
  <si>
    <t>NPL</t>
  </si>
  <si>
    <t>Nepal</t>
  </si>
  <si>
    <t>Nepalese Rupee</t>
  </si>
  <si>
    <t>NPR</t>
  </si>
  <si>
    <t>NLD</t>
  </si>
  <si>
    <t>Netherlands</t>
  </si>
  <si>
    <t>NZL</t>
  </si>
  <si>
    <t>New Zealand</t>
  </si>
  <si>
    <t>NIC</t>
  </si>
  <si>
    <t>Nicaragua</t>
  </si>
  <si>
    <t>Cordoba Oro</t>
  </si>
  <si>
    <t>NIO</t>
  </si>
  <si>
    <t>NER</t>
  </si>
  <si>
    <t>Niger</t>
  </si>
  <si>
    <t>NGA</t>
  </si>
  <si>
    <t>Nigeria</t>
  </si>
  <si>
    <t>Naira</t>
  </si>
  <si>
    <t>NGN</t>
  </si>
  <si>
    <t>NIU</t>
  </si>
  <si>
    <t>Niue</t>
  </si>
  <si>
    <t>NOR</t>
  </si>
  <si>
    <t>Norway</t>
  </si>
  <si>
    <t>Norwegian Krone</t>
  </si>
  <si>
    <t>NOK</t>
  </si>
  <si>
    <t>OMN</t>
  </si>
  <si>
    <t>Oman</t>
  </si>
  <si>
    <t>Rial Omani</t>
  </si>
  <si>
    <t>OMR</t>
  </si>
  <si>
    <t>PAK</t>
  </si>
  <si>
    <t>Pakistan</t>
  </si>
  <si>
    <t>Pakistan Rupee</t>
  </si>
  <si>
    <t>PKR</t>
  </si>
  <si>
    <t>PLW</t>
  </si>
  <si>
    <t>Palau</t>
  </si>
  <si>
    <t>PAN</t>
  </si>
  <si>
    <t>Panama</t>
  </si>
  <si>
    <t>Balboa</t>
  </si>
  <si>
    <t>PAB</t>
  </si>
  <si>
    <t>PNG</t>
  </si>
  <si>
    <t>Papua New Guinea</t>
  </si>
  <si>
    <t>Kina</t>
  </si>
  <si>
    <t>PGK</t>
  </si>
  <si>
    <t>PRY</t>
  </si>
  <si>
    <t>Paraguay</t>
  </si>
  <si>
    <t>Guarani</t>
  </si>
  <si>
    <t>PYG</t>
  </si>
  <si>
    <t>PER</t>
  </si>
  <si>
    <t>Peru</t>
  </si>
  <si>
    <t>Nuevo Sol</t>
  </si>
  <si>
    <t>PEN</t>
  </si>
  <si>
    <t>PHL</t>
  </si>
  <si>
    <t>Philippines</t>
  </si>
  <si>
    <t>Philippine Peso</t>
  </si>
  <si>
    <t>PHP</t>
  </si>
  <si>
    <t>POL</t>
  </si>
  <si>
    <t>Poland</t>
  </si>
  <si>
    <t>Zloty</t>
  </si>
  <si>
    <t>PLN</t>
  </si>
  <si>
    <t>PRT</t>
  </si>
  <si>
    <t>Portugal</t>
  </si>
  <si>
    <t>QAT</t>
  </si>
  <si>
    <t>Qatar</t>
  </si>
  <si>
    <t>Qatari Rial</t>
  </si>
  <si>
    <t>QAR</t>
  </si>
  <si>
    <t>KOR</t>
  </si>
  <si>
    <t>Republic of Korea</t>
  </si>
  <si>
    <t>South Korean Won</t>
  </si>
  <si>
    <t>KRW</t>
  </si>
  <si>
    <t>MDA</t>
  </si>
  <si>
    <t>Republic of Moldova</t>
  </si>
  <si>
    <t>Moldovan Leu</t>
  </si>
  <si>
    <t>MDL</t>
  </si>
  <si>
    <t>ROU</t>
  </si>
  <si>
    <t>Romania</t>
  </si>
  <si>
    <t>Romanian New Leu</t>
  </si>
  <si>
    <t>RON</t>
  </si>
  <si>
    <t>RUS</t>
  </si>
  <si>
    <t>Russian Federation</t>
  </si>
  <si>
    <t>Russian Rouble</t>
  </si>
  <si>
    <t>RUB</t>
  </si>
  <si>
    <t>RWA</t>
  </si>
  <si>
    <t>Rwanda Franc</t>
  </si>
  <si>
    <t>RWF</t>
  </si>
  <si>
    <t>KNA</t>
  </si>
  <si>
    <t>Saint Kitts and Nevis</t>
  </si>
  <si>
    <t>LCA</t>
  </si>
  <si>
    <t>Saint Lucia</t>
  </si>
  <si>
    <t>VCT</t>
  </si>
  <si>
    <t>Saint Vincent and the Grenadines</t>
  </si>
  <si>
    <t>WSM</t>
  </si>
  <si>
    <t>Samoa</t>
  </si>
  <si>
    <t>Samoan Tala</t>
  </si>
  <si>
    <t>WST</t>
  </si>
  <si>
    <t>SMR</t>
  </si>
  <si>
    <t>San Marino</t>
  </si>
  <si>
    <t>STP</t>
  </si>
  <si>
    <t>Sao Tome and Principe</t>
  </si>
  <si>
    <t>Sao Tome and Principe Dobra</t>
  </si>
  <si>
    <t>STD</t>
  </si>
  <si>
    <t>SAU</t>
  </si>
  <si>
    <t>Saudi Arabia</t>
  </si>
  <si>
    <t>Saudi Riyal</t>
  </si>
  <si>
    <t>SAR</t>
  </si>
  <si>
    <t>SEN</t>
  </si>
  <si>
    <t>Senegal</t>
  </si>
  <si>
    <t>SRB</t>
  </si>
  <si>
    <t>Serbia</t>
  </si>
  <si>
    <t>Serbian Dinar</t>
  </si>
  <si>
    <t>RSD</t>
  </si>
  <si>
    <t>SYC</t>
  </si>
  <si>
    <t>Seychelles</t>
  </si>
  <si>
    <t>Seychelles Rupee</t>
  </si>
  <si>
    <t>SCR</t>
  </si>
  <si>
    <t>SLE</t>
  </si>
  <si>
    <t>Sierra Leone</t>
  </si>
  <si>
    <t>Leone</t>
  </si>
  <si>
    <t>SLL</t>
  </si>
  <si>
    <t>SGP</t>
  </si>
  <si>
    <t>Singapore</t>
  </si>
  <si>
    <t>Singapore Dollar</t>
  </si>
  <si>
    <t>SGD</t>
  </si>
  <si>
    <t>SVK</t>
  </si>
  <si>
    <t>Slovakia</t>
  </si>
  <si>
    <t>Slovak Koruna</t>
  </si>
  <si>
    <t>SKK</t>
  </si>
  <si>
    <t>SVN</t>
  </si>
  <si>
    <t>Slovenia</t>
  </si>
  <si>
    <t>Slovenian Tolar</t>
  </si>
  <si>
    <t>SIT</t>
  </si>
  <si>
    <t>SLB</t>
  </si>
  <si>
    <t>Solomon Islands</t>
  </si>
  <si>
    <t>Solomon Islands Dollar</t>
  </si>
  <si>
    <t>SBD</t>
  </si>
  <si>
    <t>SOM</t>
  </si>
  <si>
    <t>Somalia</t>
  </si>
  <si>
    <t>Somali Shilling</t>
  </si>
  <si>
    <t>SOS</t>
  </si>
  <si>
    <t>ZAF</t>
  </si>
  <si>
    <t>South Africa</t>
  </si>
  <si>
    <t>South African Rand</t>
  </si>
  <si>
    <t>ZAR</t>
  </si>
  <si>
    <t>SSD</t>
  </si>
  <si>
    <t>South Sudan</t>
  </si>
  <si>
    <t>South Sudanese Pound</t>
  </si>
  <si>
    <t>SSP</t>
  </si>
  <si>
    <t>ESP</t>
  </si>
  <si>
    <t>Spain</t>
  </si>
  <si>
    <t>LKA</t>
  </si>
  <si>
    <t>Sri Lanka</t>
  </si>
  <si>
    <t>Sri Lanka Rupee</t>
  </si>
  <si>
    <t>LKR</t>
  </si>
  <si>
    <t>PSE</t>
  </si>
  <si>
    <t>State of Palestine</t>
  </si>
  <si>
    <t>SDN</t>
  </si>
  <si>
    <t>Sudan</t>
  </si>
  <si>
    <t>Sudanese Pound</t>
  </si>
  <si>
    <t>SDG</t>
  </si>
  <si>
    <t>SUR</t>
  </si>
  <si>
    <t>Suriname</t>
  </si>
  <si>
    <t>Surinam Dollar</t>
  </si>
  <si>
    <t>SRD</t>
  </si>
  <si>
    <t>SWZ</t>
  </si>
  <si>
    <t>Swaziland</t>
  </si>
  <si>
    <t>Lilangeni</t>
  </si>
  <si>
    <t>SZL</t>
  </si>
  <si>
    <t>SWE</t>
  </si>
  <si>
    <t>Sweden</t>
  </si>
  <si>
    <t>Swedish Krona</t>
  </si>
  <si>
    <t>SEK</t>
  </si>
  <si>
    <t>CHE</t>
  </si>
  <si>
    <t>Switzerland</t>
  </si>
  <si>
    <t>WIR Euro (complementary currency)</t>
  </si>
  <si>
    <t>SYR</t>
  </si>
  <si>
    <t>Syrian Arab Republic</t>
  </si>
  <si>
    <t>Syrian Pound</t>
  </si>
  <si>
    <t>SYP</t>
  </si>
  <si>
    <t>TJK</t>
  </si>
  <si>
    <t>Tajikistan</t>
  </si>
  <si>
    <t>Somoni</t>
  </si>
  <si>
    <t>TJS</t>
  </si>
  <si>
    <t>THA</t>
  </si>
  <si>
    <t>Thailand</t>
  </si>
  <si>
    <t>Baht</t>
  </si>
  <si>
    <t>THB</t>
  </si>
  <si>
    <t>MKD</t>
  </si>
  <si>
    <t>The former Yugoslav Republic of Macedonia</t>
  </si>
  <si>
    <t>Denar</t>
  </si>
  <si>
    <t>TLS</t>
  </si>
  <si>
    <t>Timor-Leste</t>
  </si>
  <si>
    <t>TGO</t>
  </si>
  <si>
    <t>Togo</t>
  </si>
  <si>
    <t>TON</t>
  </si>
  <si>
    <t>Tonga</t>
  </si>
  <si>
    <t>Pa'anga</t>
  </si>
  <si>
    <t>TOP</t>
  </si>
  <si>
    <t>TTO</t>
  </si>
  <si>
    <t>Trinidad and Tobago</t>
  </si>
  <si>
    <t>Trinidad and Tobago Dollar</t>
  </si>
  <si>
    <t>TTD</t>
  </si>
  <si>
    <t>TUN</t>
  </si>
  <si>
    <t>Tunisia</t>
  </si>
  <si>
    <t>Tunisian Dinar</t>
  </si>
  <si>
    <t>TND</t>
  </si>
  <si>
    <t>TUR</t>
  </si>
  <si>
    <t>Turkey</t>
  </si>
  <si>
    <t>New Turkish Lira</t>
  </si>
  <si>
    <t>TRY</t>
  </si>
  <si>
    <t>TKM</t>
  </si>
  <si>
    <t>Turkmenistan</t>
  </si>
  <si>
    <t>Manat</t>
  </si>
  <si>
    <t>TMM</t>
  </si>
  <si>
    <t>TUV</t>
  </si>
  <si>
    <t>Tuvalu</t>
  </si>
  <si>
    <t>UGA</t>
  </si>
  <si>
    <t>Uganda</t>
  </si>
  <si>
    <t>Uganda Shilling</t>
  </si>
  <si>
    <t>UGX</t>
  </si>
  <si>
    <t>UKR</t>
  </si>
  <si>
    <t>Ukraine</t>
  </si>
  <si>
    <t>Hryvnia</t>
  </si>
  <si>
    <t>UAH</t>
  </si>
  <si>
    <t>ARE</t>
  </si>
  <si>
    <t>United Arab Emirates</t>
  </si>
  <si>
    <t>United Arab Emirates dirham</t>
  </si>
  <si>
    <t>AED</t>
  </si>
  <si>
    <t>GBR</t>
  </si>
  <si>
    <t>United Kingdom</t>
  </si>
  <si>
    <t>Pound Sterling</t>
  </si>
  <si>
    <t>GBP</t>
  </si>
  <si>
    <t>TZA</t>
  </si>
  <si>
    <t>United Republic of Tanzania</t>
  </si>
  <si>
    <t>Tanzanian Schilling</t>
  </si>
  <si>
    <t>TZS</t>
  </si>
  <si>
    <t>USA</t>
  </si>
  <si>
    <t>United States</t>
  </si>
  <si>
    <t>URY</t>
  </si>
  <si>
    <t>Uruguay</t>
  </si>
  <si>
    <t>Peso Uruguayo</t>
  </si>
  <si>
    <t>UYU</t>
  </si>
  <si>
    <t>UZB</t>
  </si>
  <si>
    <t>Uzbekistan</t>
  </si>
  <si>
    <t>Uzbekistan Som</t>
  </si>
  <si>
    <t>UZS</t>
  </si>
  <si>
    <t>VUT</t>
  </si>
  <si>
    <t>Vanuatu</t>
  </si>
  <si>
    <t>Vatu</t>
  </si>
  <si>
    <t>VUV</t>
  </si>
  <si>
    <t>VEN</t>
  </si>
  <si>
    <t>Venezuela (Bolivarian Republic of)</t>
  </si>
  <si>
    <t>Venezuelan bolívar</t>
  </si>
  <si>
    <t>VEB</t>
  </si>
  <si>
    <t>VNM</t>
  </si>
  <si>
    <t>Viet Nam</t>
  </si>
  <si>
    <t>Vietnamese đồng</t>
  </si>
  <si>
    <t>VND</t>
  </si>
  <si>
    <t>YEM</t>
  </si>
  <si>
    <t>Yemen</t>
  </si>
  <si>
    <t>Yemeni Rial</t>
  </si>
  <si>
    <t>YER</t>
  </si>
  <si>
    <t>ZMB</t>
  </si>
  <si>
    <t>Zambia</t>
  </si>
  <si>
    <t>ZMK</t>
  </si>
  <si>
    <t>ZWE</t>
  </si>
  <si>
    <t>Zimbabwe</t>
  </si>
  <si>
    <t>Zimbabwe Dollar</t>
  </si>
  <si>
    <t>ZWD</t>
  </si>
  <si>
    <t>United Nations</t>
  </si>
  <si>
    <t>Population Division</t>
  </si>
  <si>
    <t>Department of Economic and Social Affairs</t>
  </si>
  <si>
    <t>World Population Prospects: The 2015 Revision</t>
  </si>
  <si>
    <t>File POP/1-1: Total population (both sexes combined) by major area, region and country, annually for 1950-2100 (thousands)</t>
  </si>
  <si>
    <t>Estimates, 1950 - 2015</t>
  </si>
  <si>
    <t>POP/DB/WPP/Rev.2015/POP/F01-1</t>
  </si>
  <si>
    <t>July 2015 - Copyright © 2015 by United Nations. All rights reserved</t>
  </si>
  <si>
    <t>Suggested citation: United Nations, Department of Economic and Social Affairs, Population Division (2015). World Population Prospects: The 2015 Revision, DVD Edition.</t>
  </si>
  <si>
    <t>Total population, both sexes combined, as of 1 July (thousands)</t>
  </si>
  <si>
    <t>Index</t>
  </si>
  <si>
    <t>Variant</t>
  </si>
  <si>
    <t>Major area, region, country or area *</t>
  </si>
  <si>
    <t>Notes</t>
  </si>
  <si>
    <t>Country code</t>
  </si>
  <si>
    <t>Estimates</t>
  </si>
  <si>
    <t>WORLD</t>
  </si>
  <si>
    <t>More developed regions</t>
  </si>
  <si>
    <t>a</t>
  </si>
  <si>
    <t>Less developed regions</t>
  </si>
  <si>
    <t>b</t>
  </si>
  <si>
    <t>Least developed countries</t>
  </si>
  <si>
    <t>c</t>
  </si>
  <si>
    <t>Less developed regions, excluding least developed countries</t>
  </si>
  <si>
    <t>d</t>
  </si>
  <si>
    <t>Less developed regions, excluding China</t>
  </si>
  <si>
    <t>High-income countries</t>
  </si>
  <si>
    <t>e</t>
  </si>
  <si>
    <t>Middle-income countries</t>
  </si>
  <si>
    <t>Upper-middle-income countries</t>
  </si>
  <si>
    <t>Lower-middle-income countries</t>
  </si>
  <si>
    <t>Low-income countries</t>
  </si>
  <si>
    <t>Sub-Saharan Africa</t>
  </si>
  <si>
    <t>f</t>
  </si>
  <si>
    <t>AFRICA</t>
  </si>
  <si>
    <t>Eastern Africa</t>
  </si>
  <si>
    <t>Mayotte</t>
  </si>
  <si>
    <t>Réunion</t>
  </si>
  <si>
    <t>Middle Africa</t>
  </si>
  <si>
    <t>Northern Africa</t>
  </si>
  <si>
    <t>Western Sahara</t>
  </si>
  <si>
    <t>Southern Africa</t>
  </si>
  <si>
    <t>Western Africa</t>
  </si>
  <si>
    <t>Côte d'Ivoire</t>
  </si>
  <si>
    <t>Saint Helena</t>
  </si>
  <si>
    <t>ASIA</t>
  </si>
  <si>
    <t>Eastern Asia</t>
  </si>
  <si>
    <t>China, Hong Kong SAR</t>
  </si>
  <si>
    <t>China, Macao SAR</t>
  </si>
  <si>
    <t>Dem. People's Republic of Korea</t>
  </si>
  <si>
    <t>Other non-specified areas</t>
  </si>
  <si>
    <t>South-Central Asia</t>
  </si>
  <si>
    <t>Central Asia</t>
  </si>
  <si>
    <t>Southern Asia</t>
  </si>
  <si>
    <t>South-Eastern Asia</t>
  </si>
  <si>
    <t>Western Asia</t>
  </si>
  <si>
    <t>EUROPE</t>
  </si>
  <si>
    <t>Eastern Europe</t>
  </si>
  <si>
    <t>Northern Europe</t>
  </si>
  <si>
    <t>Channel Islands</t>
  </si>
  <si>
    <t>Faeroe Islands</t>
  </si>
  <si>
    <t>Isle of Man</t>
  </si>
  <si>
    <t>Southern Europe</t>
  </si>
  <si>
    <t>Gibraltar</t>
  </si>
  <si>
    <t>Holy See</t>
  </si>
  <si>
    <t>TFYR Macedonia</t>
  </si>
  <si>
    <t>Western Europe</t>
  </si>
  <si>
    <t>LATIN AMERICA AND THE CARIBBEAN</t>
  </si>
  <si>
    <t>Caribbean</t>
  </si>
  <si>
    <t>Anguilla</t>
  </si>
  <si>
    <t>Aruba</t>
  </si>
  <si>
    <t>British Virgin Islands</t>
  </si>
  <si>
    <t>Caribbean Netherlands</t>
  </si>
  <si>
    <t>Cayman Islands</t>
  </si>
  <si>
    <t>Curaçao</t>
  </si>
  <si>
    <t>Guadeloupe</t>
  </si>
  <si>
    <t>Martinique</t>
  </si>
  <si>
    <t>Montserrat</t>
  </si>
  <si>
    <t>Puerto Rico</t>
  </si>
  <si>
    <t>Sint Maarten (Dutch part)</t>
  </si>
  <si>
    <t>Turks and Caicos Islands</t>
  </si>
  <si>
    <t>United States Virgin Islands</t>
  </si>
  <si>
    <t>Central America</t>
  </si>
  <si>
    <t>South America</t>
  </si>
  <si>
    <t>Falkland Islands (Malvinas)</t>
  </si>
  <si>
    <t>French Guiana</t>
  </si>
  <si>
    <t>NORTHERN AMERICA</t>
  </si>
  <si>
    <t>Bermuda</t>
  </si>
  <si>
    <t>Greenland</t>
  </si>
  <si>
    <t>Saint Pierre and Miquelon</t>
  </si>
  <si>
    <t>United States of America</t>
  </si>
  <si>
    <t>OCEANIA</t>
  </si>
  <si>
    <t>Australia/New Zealand</t>
  </si>
  <si>
    <t>Melanesia</t>
  </si>
  <si>
    <t>New Caledonia</t>
  </si>
  <si>
    <t>Micronesia</t>
  </si>
  <si>
    <t>Guam</t>
  </si>
  <si>
    <t>Micronesia (Fed. States of)</t>
  </si>
  <si>
    <t>Northern Mariana Islands</t>
  </si>
  <si>
    <t>Polynesia</t>
  </si>
  <si>
    <t>American Samoa</t>
  </si>
  <si>
    <t>French Polynesia</t>
  </si>
  <si>
    <t>Tokelau</t>
  </si>
  <si>
    <t>Wallis and Futuna Islands</t>
  </si>
  <si>
    <t>DEMOGRAPHY</t>
  </si>
  <si>
    <t>Total Population (National)</t>
  </si>
  <si>
    <t>Sub-national population, if applicable</t>
  </si>
  <si>
    <t>Total Urban population</t>
  </si>
  <si>
    <t>Total Rural population</t>
  </si>
  <si>
    <t>% population targeted by community services</t>
  </si>
  <si>
    <t>Total population covered by community services</t>
  </si>
  <si>
    <t>% urban population targeted by community services</t>
  </si>
  <si>
    <t>Total urban population covered by community services</t>
  </si>
  <si>
    <t>% rural population targeted by community services</t>
  </si>
  <si>
    <t>Total rural population targeted by community services</t>
  </si>
  <si>
    <t>Average household size (persons per household)</t>
  </si>
  <si>
    <t>Crude birth rate (per 1,000 population)</t>
  </si>
  <si>
    <t>Maternal mortality rate (per 100,000 live births)</t>
  </si>
  <si>
    <t>All</t>
  </si>
  <si>
    <t>All Male</t>
  </si>
  <si>
    <t>All Female</t>
  </si>
  <si>
    <t>Children &gt;1 to &lt;5</t>
  </si>
  <si>
    <t>Children &lt;5</t>
  </si>
  <si>
    <t>Children &lt;15</t>
  </si>
  <si>
    <t>Adolescents 10-19</t>
  </si>
  <si>
    <t>Youth 15-24</t>
  </si>
  <si>
    <t>Adults &gt;15</t>
  </si>
  <si>
    <t>Male Adult</t>
  </si>
  <si>
    <t>Female Adult</t>
  </si>
  <si>
    <t>Fem + Male Rep Age</t>
  </si>
  <si>
    <t>URBAN</t>
  </si>
  <si>
    <t>Chidlren 6-59 months</t>
  </si>
  <si>
    <t>RURAL</t>
  </si>
  <si>
    <t>Population breakdown:</t>
  </si>
  <si>
    <t>Males 2-59 months</t>
  </si>
  <si>
    <t>Males 6-59 months</t>
  </si>
  <si>
    <t>Females 2-59 months</t>
  </si>
  <si>
    <t>Females 6-59 months</t>
  </si>
  <si>
    <t>Service type</t>
  </si>
  <si>
    <t>Services by Program</t>
  </si>
  <si>
    <t>Services by Program (%)</t>
  </si>
  <si>
    <t>Total Time on Services by Program (hours)</t>
  </si>
  <si>
    <t>Weeks worked per year</t>
  </si>
  <si>
    <t>Hours worked per week</t>
  </si>
  <si>
    <t>Overall</t>
  </si>
  <si>
    <t>Scenario 1</t>
  </si>
  <si>
    <t>Scenario 2</t>
  </si>
  <si>
    <t>CHW Category providing service (Scenario 1)</t>
  </si>
  <si>
    <t>Scenario 3</t>
  </si>
  <si>
    <t>Scenario 4</t>
  </si>
  <si>
    <t>CHW Category providing service (Scenario 2)</t>
  </si>
  <si>
    <t>CHW Category providing service (Scenario 3)</t>
  </si>
  <si>
    <t>CHW Category providing service (Scenario 4)</t>
  </si>
  <si>
    <t>weeks</t>
  </si>
  <si>
    <t>hours</t>
  </si>
  <si>
    <t>DO NOT DELETE</t>
  </si>
  <si>
    <t>Scenarios</t>
  </si>
  <si>
    <t>column used by pie chart</t>
  </si>
  <si>
    <t>Scenario:</t>
  </si>
  <si>
    <t>% planned actitivity implemented</t>
  </si>
  <si>
    <t>Provider</t>
  </si>
  <si>
    <t>Year:  Type in beginning year for plan</t>
  </si>
  <si>
    <t>Direct entry</t>
  </si>
  <si>
    <t>Name of subpopulation</t>
  </si>
  <si>
    <t>Percent of available time occupied</t>
  </si>
  <si>
    <t>Theoretically ideal number of CHW</t>
  </si>
  <si>
    <t>Community</t>
  </si>
  <si>
    <t>Population per community</t>
  </si>
  <si>
    <t>Visits</t>
  </si>
  <si>
    <t>Subpopulation:  name of your choice</t>
  </si>
  <si>
    <t>Year of analysis</t>
  </si>
  <si>
    <t>Population of community (read comment, please)</t>
  </si>
  <si>
    <t>Program information</t>
  </si>
  <si>
    <t>Policy analysis mode</t>
  </si>
  <si>
    <t>Policy analysis  modes</t>
  </si>
  <si>
    <t>Population per CHW</t>
  </si>
  <si>
    <t>Percent of activities covered by planned number of CHW</t>
  </si>
  <si>
    <t xml:space="preserve"> Theoretically ideal number of CHWs</t>
  </si>
  <si>
    <t>CHW Cadre:</t>
  </si>
  <si>
    <t>Number of CHWs available</t>
  </si>
  <si>
    <t>Reference point -- 100%</t>
  </si>
  <si>
    <t>unused column do not delete</t>
  </si>
  <si>
    <t>Do not delete this sheet or anything on it.  Leftovers from previous version, difficult to remove</t>
  </si>
  <si>
    <t>Household size</t>
  </si>
  <si>
    <t>1. Program Information</t>
  </si>
  <si>
    <t>Total Population: Enter total pop. of geographic area</t>
  </si>
  <si>
    <t>II. Names of Community Health Subprograms (Please read comment)</t>
  </si>
  <si>
    <t>Service/Intervention</t>
  </si>
  <si>
    <t>Comments and assumptions</t>
  </si>
  <si>
    <t>What is the average household size? (Number of people/household)</t>
  </si>
  <si>
    <t>Country:  choose from drop-down menu</t>
  </si>
  <si>
    <t>Any names are OK but should correspond to areas of work that CHWs operate. In the tab "Package," each intervention will need to be categorized by subprogram. Therefore, if the names do not already exist in a plan or policy, they should be created to be comprehensive and inclusive enough to allow any intervention to be categorized. Note you may want to create an "All Other" category if you are not sure that everything can be categorized.</t>
  </si>
  <si>
    <t>Choose from drop-downs. The drop-down chosen will then cause 
the correct calculation method to be used and the subsequent cells below
will have the correct labels.
Choose the calculation method for which you think you can make the most accurate estimate.
Read comment for each cell for details.</t>
  </si>
  <si>
    <t xml:space="preserve">For each of the cadres of interest, fill in the name, an abbreviation for the name, and </t>
  </si>
  <si>
    <t>Estimate needed for C3 (Y/N)</t>
  </si>
  <si>
    <t>Urban - Avega</t>
  </si>
  <si>
    <t>Urban - Rwamagana</t>
  </si>
  <si>
    <t>Consensus "best estimate"</t>
  </si>
  <si>
    <t>Rural (HHs clustered)- Muyanga</t>
  </si>
  <si>
    <t>Rural - Rubona</t>
  </si>
  <si>
    <r>
      <t xml:space="preserve">Benchmark data from other sources (e.g. </t>
    </r>
    <r>
      <rPr>
        <b/>
        <sz val="11"/>
        <color rgb="FFC00000"/>
        <rFont val="Calibri"/>
        <family val="2"/>
        <scheme val="minor"/>
      </rPr>
      <t>LSTMH Evaluation report</t>
    </r>
    <r>
      <rPr>
        <b/>
        <sz val="11"/>
        <color theme="1"/>
        <rFont val="Calibri"/>
        <family val="2"/>
        <scheme val="minor"/>
      </rPr>
      <t xml:space="preserve">, </t>
    </r>
    <r>
      <rPr>
        <b/>
        <sz val="11"/>
        <color rgb="FF7030A0"/>
        <rFont val="Calibri"/>
        <family val="2"/>
        <scheme val="minor"/>
      </rPr>
      <t>DHS</t>
    </r>
    <r>
      <rPr>
        <b/>
        <sz val="11"/>
        <color theme="1"/>
        <rFont val="Calibri"/>
        <family val="2"/>
        <scheme val="minor"/>
      </rPr>
      <t>, etc.)</t>
    </r>
  </si>
  <si>
    <t>Other Notes</t>
  </si>
  <si>
    <t>Q No.</t>
  </si>
  <si>
    <t>Question</t>
  </si>
  <si>
    <t>Additional description</t>
  </si>
  <si>
    <t>CHW In-Charge</t>
  </si>
  <si>
    <t xml:space="preserve">Overall: Avega Binome questionnaire has a lot of blank squares and comments are in Kinyarwanda </t>
  </si>
  <si>
    <t>Days per week that CHWs perform CHW duties</t>
  </si>
  <si>
    <t>All CHW tasks, but not cooperative</t>
  </si>
  <si>
    <t>Y</t>
  </si>
  <si>
    <t>7days</t>
  </si>
  <si>
    <t xml:space="preserve">3-5 days </t>
  </si>
  <si>
    <t>7 days</t>
  </si>
  <si>
    <t>2-4days</t>
  </si>
  <si>
    <t xml:space="preserve">ASM: 3 days
Binome: 7 days
</t>
  </si>
  <si>
    <t>7days (binome) 2 days (ASM)</t>
  </si>
  <si>
    <t>3days</t>
  </si>
  <si>
    <t xml:space="preserve">7 days </t>
  </si>
  <si>
    <t>3-4days</t>
  </si>
  <si>
    <t>3 days (sometime they don't understand the question because most of them the first response was that they work every day)</t>
  </si>
  <si>
    <t>ASM: 3 days
Binome: 7 days</t>
  </si>
  <si>
    <t xml:space="preserve">5 days/week (for both ASM and  binome) </t>
  </si>
  <si>
    <t>Hours per week, actual</t>
  </si>
  <si>
    <t>28hrs</t>
  </si>
  <si>
    <t xml:space="preserve">18-21 hrs </t>
  </si>
  <si>
    <t xml:space="preserve">14-21 hrs </t>
  </si>
  <si>
    <t>28hrs; 21 hrs in dry season</t>
  </si>
  <si>
    <t>2-5hrs (pls translate Kinyarwanda comment) in rain season this number of hours increases</t>
  </si>
  <si>
    <t>6-8hrs(the hours increase in rainy season); few hours in morning and more in after noon)</t>
  </si>
  <si>
    <t>ASM: 15 hrs 
Binome: 28 hrs</t>
  </si>
  <si>
    <t>28 hrs  (4 hours per day if 7 days/week for binome)</t>
  </si>
  <si>
    <t xml:space="preserve">7hrs </t>
  </si>
  <si>
    <t xml:space="preserve">3-5 hours (3 people); 14 hours; 21 hours(no minimumu expectation from MoH)think the group was composed by businessmen and cultivstors because they are very different in availability. </t>
  </si>
  <si>
    <t>6hrs</t>
  </si>
  <si>
    <t>12-20hrs</t>
  </si>
  <si>
    <t>2-3hrs</t>
  </si>
  <si>
    <t>ASM: 20 hrs
Binome: 35 hrs</t>
  </si>
  <si>
    <t>8 hours/week for both binomes and ASMs</t>
  </si>
  <si>
    <r>
      <t xml:space="preserve">Overall, we see trend that binomes spend more hours per week than ASMs.  However, there seems to be a lot of variability in responses.  Not knowing what the comments are for some in Kinyarwanda, we need assistance coming up with consensus numbers.  These should be specific to ASMs and to Binomes, as their activities differ.  This is likely to need disucssion with the MOH as expectations for hours worked by CHWs are not addressed in current policy.  The MOH may want to create clear expectations if many CHWs are only available 3 hours per week but that is not sufficient for the scope of activities.    Related:  </t>
    </r>
    <r>
      <rPr>
        <b/>
        <sz val="11"/>
        <color theme="1"/>
        <rFont val="Calibri"/>
        <family val="2"/>
        <scheme val="minor"/>
      </rPr>
      <t xml:space="preserve">What is the approximate quarterly compensation CHWs receive from PBF or other payments, independent of possible additional income via the cooperative?  </t>
    </r>
    <r>
      <rPr>
        <sz val="11"/>
        <color theme="1"/>
        <rFont val="Calibri"/>
        <family val="2"/>
        <scheme val="minor"/>
      </rPr>
      <t xml:space="preserve">A sense of the minimum remuneration would be helpful in light of the minimum time expectations for CHWs as volunteers. </t>
    </r>
  </si>
  <si>
    <r>
      <t xml:space="preserve">Max reasonable - </t>
    </r>
    <r>
      <rPr>
        <sz val="11"/>
        <color rgb="FFFF0000"/>
        <rFont val="Calibri"/>
        <family val="2"/>
        <scheme val="minor"/>
      </rPr>
      <t>hours per week (this may require conversion from hours per day)</t>
    </r>
  </si>
  <si>
    <t>14 hrs</t>
  </si>
  <si>
    <t>9-10 hrs</t>
  </si>
  <si>
    <t>21-28 hrs</t>
  </si>
  <si>
    <t>14hrs</t>
  </si>
  <si>
    <t>4-7hrs</t>
  </si>
  <si>
    <t>10-16</t>
  </si>
  <si>
    <t>ASM: 10
Binome: 28 hrs</t>
  </si>
  <si>
    <t xml:space="preserve">28hrs </t>
  </si>
  <si>
    <t>3-5hrs(depending on the availability of the two respondents they think they can have more hours to dadicate to the CHWs work more than others)</t>
  </si>
  <si>
    <t>14-21hrs</t>
  </si>
  <si>
    <t>12 hrs (binome/9 hrs ASM</t>
  </si>
  <si>
    <t>9-12hrs</t>
  </si>
  <si>
    <t>The responses as to what was reasonable varied quite a bit and we need some help interpreting some of the responses.  We would appreciate input from those who collected the data for the consensus figures for what is reasonable to expect of an ASM and of binomes.   We will use this number in C3 for the average number of hours that should be planned for using ASM and binome's time for CHW activities outside of formal trainings.  At some point there needs to be consensus with the MOH as to what expectations are as well, as noted above.</t>
  </si>
  <si>
    <t>CHW Cooperative - hours per quarter</t>
  </si>
  <si>
    <t>8hrs</t>
  </si>
  <si>
    <t>17-20 hrs</t>
  </si>
  <si>
    <t>3hrs</t>
  </si>
  <si>
    <t>4hrs</t>
  </si>
  <si>
    <t xml:space="preserve">4 hrs </t>
  </si>
  <si>
    <t>7 &amp;15 hrs</t>
  </si>
  <si>
    <t>4; 24; 36 hrs</t>
  </si>
  <si>
    <t>10hrs</t>
  </si>
  <si>
    <t>5-6hrs</t>
  </si>
  <si>
    <t>9.75 hrs/quarter</t>
  </si>
  <si>
    <t>This information on the cooperative is not used for calculations in the tool.  Rather, it was intended to provide a bigger picture of what occupies the CHWs.  We imagine it varies quite a bit on the activities of each cooperative.</t>
  </si>
  <si>
    <t>Travel Time  - overall minutes per day</t>
  </si>
  <si>
    <t>not specified</t>
  </si>
  <si>
    <t>30 - 180mins</t>
  </si>
  <si>
    <t>60mins</t>
  </si>
  <si>
    <t>20-90mins</t>
  </si>
  <si>
    <t>20-60mins</t>
  </si>
  <si>
    <t xml:space="preserve">ASM: 60 min
Binome: 60 min
</t>
  </si>
  <si>
    <t>30-105 mins</t>
  </si>
  <si>
    <t>60-90mins</t>
  </si>
  <si>
    <t>25-45mins</t>
  </si>
  <si>
    <t>30-60mins</t>
  </si>
  <si>
    <t>ASM: 120 minutes
Binome: 120 minutes</t>
  </si>
  <si>
    <t>5a</t>
  </si>
  <si>
    <t>Time one house to next, minutes</t>
  </si>
  <si>
    <t>60 minutes (this is the distance(travel time) between a house which is near and a house which is far</t>
  </si>
  <si>
    <t>10-30mins</t>
  </si>
  <si>
    <t>5/45 mins</t>
  </si>
  <si>
    <t>5-30mins</t>
  </si>
  <si>
    <t>10-20mins</t>
  </si>
  <si>
    <t>5 minutes</t>
  </si>
  <si>
    <t>30mins</t>
  </si>
  <si>
    <t>15-35 mins</t>
  </si>
  <si>
    <t>5-25mins</t>
  </si>
  <si>
    <t>20mins</t>
  </si>
  <si>
    <t>35-45mins</t>
  </si>
  <si>
    <t>25 minutes</t>
  </si>
  <si>
    <r>
      <t>Urban In-Charges listed 60 min to get to houses, longer than any other respondents.  Any ideas why? We think the CHWs should know best, since they do the home visits. Please provide your perspectives(t</t>
    </r>
    <r>
      <rPr>
        <sz val="11"/>
        <color rgb="FF00B050"/>
        <rFont val="Calibri"/>
        <family val="2"/>
        <scheme val="minor"/>
      </rPr>
      <t>he estimation is wrong because it is considering travelling the whole town to reach the farest house. it is not house to house travel)</t>
    </r>
  </si>
  <si>
    <t>5b</t>
  </si>
  <si>
    <t>Time to HC</t>
  </si>
  <si>
    <t>N (read comment)</t>
  </si>
  <si>
    <t>90 min</t>
  </si>
  <si>
    <t>10/90mins</t>
  </si>
  <si>
    <t>120mins</t>
  </si>
  <si>
    <t>30-90mins</t>
  </si>
  <si>
    <t>90-180mins</t>
  </si>
  <si>
    <t>30 minutes</t>
  </si>
  <si>
    <t>75mins</t>
  </si>
  <si>
    <t>15-80mins</t>
  </si>
  <si>
    <t>2hrs (if far) 5 mins (near)</t>
  </si>
  <si>
    <t>50-80mins</t>
  </si>
  <si>
    <t>15mins;4hrs</t>
  </si>
  <si>
    <t>80 minutes</t>
  </si>
  <si>
    <t>This of course varies depending on the location of the village within the HC catchment area.  It is not currently included in the tool -- but something we can keep in mind as additional travel time to factor in per month.</t>
  </si>
  <si>
    <t>5c</t>
  </si>
  <si>
    <t xml:space="preserve"> Time to accompany preg woman for delivery (ASM)/accompany a sick child to the Health center (binome)</t>
  </si>
  <si>
    <t>60-120 mins</t>
  </si>
  <si>
    <t>90-150 mins</t>
  </si>
  <si>
    <t>40-120mins</t>
  </si>
  <si>
    <t xml:space="preserve">120-180mins </t>
  </si>
  <si>
    <t>40 minutes</t>
  </si>
  <si>
    <t>120 mins</t>
  </si>
  <si>
    <t>60-180 mins</t>
  </si>
  <si>
    <t xml:space="preserve">25-90 mins </t>
  </si>
  <si>
    <t>3hrs/15mins</t>
  </si>
  <si>
    <t>60-120mins</t>
  </si>
  <si>
    <t>20mins;5hrs</t>
  </si>
  <si>
    <t>180 minutes</t>
  </si>
  <si>
    <t>Again, difficult to come up with average as villages are different distances to HC.  Not currently part of tool calculations but if thought to be significant, could be added in.</t>
  </si>
  <si>
    <t>5d</t>
  </si>
  <si>
    <t>ASM time to take misoprostol to woman with home birth</t>
  </si>
  <si>
    <t>60 min</t>
  </si>
  <si>
    <t>25 -30 mins</t>
  </si>
  <si>
    <t>5-10mins</t>
  </si>
  <si>
    <t>N/A</t>
  </si>
  <si>
    <t>25-30mins</t>
  </si>
  <si>
    <t>60 minutes</t>
  </si>
  <si>
    <t>Not currently in tool; as home births are unusual, it doesn't seem like a major factor…</t>
  </si>
  <si>
    <t>5e</t>
  </si>
  <si>
    <t>Travel time to meet Cell Coordinator</t>
  </si>
  <si>
    <t>45 min</t>
  </si>
  <si>
    <t>30-35 mins</t>
  </si>
  <si>
    <t>30-45mins</t>
  </si>
  <si>
    <t>15-40 mins</t>
  </si>
  <si>
    <t xml:space="preserve">20-60mins </t>
  </si>
  <si>
    <t>20 minutes</t>
  </si>
  <si>
    <t>45mins</t>
  </si>
  <si>
    <t>90mins</t>
  </si>
  <si>
    <t>No response</t>
  </si>
  <si>
    <t>40mins</t>
  </si>
  <si>
    <t>7-10mins</t>
  </si>
  <si>
    <t>15-60mins</t>
  </si>
  <si>
    <t>45 minutes</t>
  </si>
  <si>
    <t>Not currently in tool -- but let us know if it should get factored into the admin or other travel time.  We assume it happens monthly.</t>
  </si>
  <si>
    <t>Admin time (mins per wk)</t>
  </si>
  <si>
    <t xml:space="preserve">Registers, reporting, etc. </t>
  </si>
  <si>
    <t>46 hrs per month (/4 = 11.5 hours/week)</t>
  </si>
  <si>
    <r>
      <t>8-10hrs (assume per week)</t>
    </r>
    <r>
      <rPr>
        <sz val="11"/>
        <color theme="4"/>
        <rFont val="Calibri"/>
        <family val="2"/>
        <scheme val="minor"/>
      </rPr>
      <t>(this was counting even recording an activity in registers)</t>
    </r>
  </si>
  <si>
    <t>5-hrs  (assuming per week)</t>
  </si>
  <si>
    <t>4hours(if not considering recording each activity, the time reduce to 1 hr per week)</t>
  </si>
  <si>
    <t>30-60mins(this was the first group interviewed and question was not understood coz the other group benefited more explanation. maybe we can consider 1 hours as standard for all CHWs as the activity is the same accros all HCs)</t>
  </si>
  <si>
    <t>2-3 hours</t>
  </si>
  <si>
    <t xml:space="preserve">ASM: 1 hr
Binome: 1hr
</t>
  </si>
  <si>
    <t xml:space="preserve">10 hrs </t>
  </si>
  <si>
    <t>4 hrs</t>
  </si>
  <si>
    <t>5 hrs 30mins</t>
  </si>
  <si>
    <t>10hrs 50mins</t>
  </si>
  <si>
    <t xml:space="preserve">4hrs </t>
  </si>
  <si>
    <t>ASM: 1hr
Binome: 1hr</t>
  </si>
  <si>
    <t>60 mins/week or 10-15% of CHP time</t>
  </si>
  <si>
    <r>
      <t xml:space="preserve">CHW In-Charges seem to think more time is required for admin duties than the ASMs or binomes (for the most part) are reporting themselves. Thoughts on which estimates to use?  What is required to do the job well? The CHP evaluation notes that CHW spend about 12% of the 7-8 hours a week that they dedicate to CHW work on admin duties. Is this realistic? </t>
    </r>
    <r>
      <rPr>
        <sz val="11"/>
        <color rgb="FF0070C0"/>
        <rFont val="Calibri"/>
        <family val="2"/>
        <scheme val="minor"/>
      </rPr>
      <t>the estimation here is not per week because most of this time is used at the end of a month when compiling monthly report) few of them are used to record every activity done.</t>
    </r>
  </si>
  <si>
    <t>Cell Coordinator time per month supervising other CHWs per month</t>
  </si>
  <si>
    <t>N, we do not have a separate category for coordinators</t>
  </si>
  <si>
    <t>25hrs</t>
  </si>
  <si>
    <t>11-15 hours</t>
  </si>
  <si>
    <t>1-4 hrs  (1 hour would seem to be an impossible response)</t>
  </si>
  <si>
    <t>3-6 hours</t>
  </si>
  <si>
    <t>ASM: 10 hours
Binome: 10 hours</t>
  </si>
  <si>
    <t>5-8hrs</t>
  </si>
  <si>
    <t>12hrs</t>
  </si>
  <si>
    <t>ASM: 15 hrs hours
Binome: 25 hours</t>
  </si>
  <si>
    <t xml:space="preserve">Not currently factored into tool.  Not sure what to make of very different reports for ASM cell coordinator supervision in the urban areas.  Even more important than how much time they actually spend is how much time they should be spending to do their expected supervisory activities. </t>
  </si>
  <si>
    <t>q</t>
  </si>
  <si>
    <t xml:space="preserve">In-Service training </t>
  </si>
  <si>
    <t>5 days/year</t>
  </si>
  <si>
    <t>5 days</t>
  </si>
  <si>
    <t>8a</t>
  </si>
  <si>
    <t>ASMs days/year</t>
  </si>
  <si>
    <t>10 days</t>
  </si>
  <si>
    <t xml:space="preserve">10days </t>
  </si>
  <si>
    <t>5 days per year</t>
  </si>
  <si>
    <t>10days</t>
  </si>
  <si>
    <t>8b</t>
  </si>
  <si>
    <t>Binomes days/year</t>
  </si>
  <si>
    <t>5days</t>
  </si>
  <si>
    <r>
      <t xml:space="preserve">10 </t>
    </r>
    <r>
      <rPr>
        <sz val="11"/>
        <color rgb="FFFF0000"/>
        <rFont val="Calibri"/>
        <family val="2"/>
        <scheme val="minor"/>
      </rPr>
      <t xml:space="preserve">days </t>
    </r>
    <r>
      <rPr>
        <sz val="11"/>
        <color theme="1"/>
        <rFont val="Calibri"/>
        <family val="2"/>
        <scheme val="minor"/>
      </rPr>
      <t>per year</t>
    </r>
  </si>
  <si>
    <t>15days</t>
  </si>
  <si>
    <r>
      <t xml:space="preserve">10 </t>
    </r>
    <r>
      <rPr>
        <sz val="11"/>
        <color rgb="FFFF0000"/>
        <rFont val="Calibri"/>
        <family val="2"/>
        <scheme val="minor"/>
      </rPr>
      <t>days</t>
    </r>
    <r>
      <rPr>
        <sz val="11"/>
        <color theme="1"/>
        <rFont val="Calibri"/>
        <family val="2"/>
        <scheme val="minor"/>
      </rPr>
      <t xml:space="preserve"> per year</t>
    </r>
  </si>
  <si>
    <t>There seems to be disagreement on the number of training days for binomes.  Does this vary by HC area?</t>
  </si>
  <si>
    <t>8c</t>
  </si>
  <si>
    <t>Cell Coordinators (additional days )</t>
  </si>
  <si>
    <t>3 days</t>
  </si>
  <si>
    <t>3 days per year</t>
  </si>
  <si>
    <t>Cell coordinator responsibilities not currently factored into C3 tool.</t>
  </si>
  <si>
    <t>Campaigns (days/year)</t>
  </si>
  <si>
    <t>15 days</t>
  </si>
  <si>
    <t>10 days per year</t>
  </si>
  <si>
    <t>24 days</t>
  </si>
  <si>
    <t>24days</t>
  </si>
  <si>
    <t>19days</t>
  </si>
  <si>
    <t>17days</t>
  </si>
  <si>
    <t>The rural areas seemed to report more campaign days (17-24)  Is that typical?</t>
  </si>
  <si>
    <t>INTERVENTIONS</t>
  </si>
  <si>
    <t>A</t>
  </si>
  <si>
    <t>INTEGRATED COMMUNITY CASE MANGEMENT (i-CCM) by Binomes</t>
  </si>
  <si>
    <t>i</t>
  </si>
  <si>
    <t>Average time for a sick child visit</t>
  </si>
  <si>
    <t>minutes per visit</t>
  </si>
  <si>
    <t>40-45mins</t>
  </si>
  <si>
    <t>Responses range from 20 min to 60 minutes across all respondents;What is required in the protocol or standards of practice for iCCM.  We preseume that if the full sick child protocol is actually followed,  greater time may be needed</t>
  </si>
  <si>
    <t>ii</t>
  </si>
  <si>
    <t>Average time for diagnosis of Diarrhea (2-59m)</t>
  </si>
  <si>
    <t>minutes per case</t>
  </si>
  <si>
    <t>N (unless we disaggregate the visit type)</t>
  </si>
  <si>
    <t>20-30mins</t>
  </si>
  <si>
    <t>30-40mins</t>
  </si>
  <si>
    <t xml:space="preserve">10mins </t>
  </si>
  <si>
    <t>10 mins</t>
  </si>
  <si>
    <t>We shouldn't need this info in current version of the tool, which calculates based on the sick child visits, not by disease</t>
  </si>
  <si>
    <t>iii</t>
  </si>
  <si>
    <t>Average time for diagnosis of Pneumonia (2-59m)</t>
  </si>
  <si>
    <t>50mins</t>
  </si>
  <si>
    <t>35 minutes</t>
  </si>
  <si>
    <t>25mins</t>
  </si>
  <si>
    <t>iv</t>
  </si>
  <si>
    <t>Average time for diagnosis of malaria (2-59m)</t>
  </si>
  <si>
    <t>v</t>
  </si>
  <si>
    <t xml:space="preserve">Average time for diagnosis and treatment of malaria(Adults)? </t>
  </si>
  <si>
    <t>45-60mins</t>
  </si>
  <si>
    <t>25 min</t>
  </si>
  <si>
    <t>25mins ;40mins</t>
  </si>
  <si>
    <t>I think this needs to get added to tool as adult malaria is not factored into sick child visit.</t>
  </si>
  <si>
    <t>vi</t>
  </si>
  <si>
    <t>Average time for follow-up visit to patient's house (after 2 days)? ICCM</t>
  </si>
  <si>
    <t>45-120mins</t>
  </si>
  <si>
    <t>20mins.25mins</t>
  </si>
  <si>
    <t>15mins</t>
  </si>
  <si>
    <t>Why would the urban areas require more time for a follow up visit than the rural?  What is reasonable?  Did the longer estimates include travel time (not the intention)?</t>
  </si>
  <si>
    <t>vii</t>
  </si>
  <si>
    <t>Average time for referral after iCCM (if no improvement)?</t>
  </si>
  <si>
    <t>Minutes per referral</t>
  </si>
  <si>
    <t>5mins</t>
  </si>
  <si>
    <t>120mins(the response contains travel time. If we remove this we obtain 10 minutes only to fill the form and provide advice messages)</t>
  </si>
  <si>
    <t>10 minutes</t>
  </si>
  <si>
    <t>35mins</t>
  </si>
  <si>
    <t>1-2mins</t>
  </si>
  <si>
    <t>3mins</t>
  </si>
  <si>
    <t>How do we make sense of the ranges from 1-2 minutes to 2 hours?  What do you recommend as reasonable for planning purposes?</t>
  </si>
  <si>
    <t>viii</t>
  </si>
  <si>
    <t>Average time for administering deworming (age1-5)</t>
  </si>
  <si>
    <t>Minutes per child</t>
  </si>
  <si>
    <t>Y (if an intervention)</t>
  </si>
  <si>
    <t>2mins</t>
  </si>
  <si>
    <t>5 mins</t>
  </si>
  <si>
    <t>10mins</t>
  </si>
  <si>
    <t>2-3mins</t>
  </si>
  <si>
    <t>ix</t>
  </si>
  <si>
    <t xml:space="preserve">Average time estimated to check Immunization and Vitamin A supplementation status of children on child health card </t>
  </si>
  <si>
    <t>? Mins</t>
  </si>
  <si>
    <t>4 minutes</t>
  </si>
  <si>
    <t>1min</t>
  </si>
  <si>
    <t>4-5mins</t>
  </si>
  <si>
    <t>What setting is this taking place in?  During home visit?  At a communal  Growth Monitoring event?  Why the 20 minute estimate vs. the 1-3 minutes most say?</t>
  </si>
  <si>
    <t>Proportion of cases treated by CHWs vs at the Health Center?</t>
  </si>
  <si>
    <t xml:space="preserve">Percentage or ratio. </t>
  </si>
  <si>
    <t>50% ; 50%</t>
  </si>
  <si>
    <t>40%; 60%</t>
  </si>
  <si>
    <t>70% HC; ?CHW</t>
  </si>
  <si>
    <t>70% (is this for HC or CHW?)</t>
  </si>
  <si>
    <t>70% CHWs; 30% HCs</t>
  </si>
  <si>
    <t>60% HF; 40%CHW</t>
  </si>
  <si>
    <t>70%;30%</t>
  </si>
  <si>
    <t>CHW-30%; HF70%</t>
  </si>
  <si>
    <t>CHW 70%; HF30%</t>
  </si>
  <si>
    <t>10-15%</t>
  </si>
  <si>
    <t>We expect there to be urban and rural differences, based on the Community Health Evaluation.  Recommendations? DHS states like 49-53% HF and 12-14% CHW what should we be using</t>
  </si>
  <si>
    <t>B</t>
  </si>
  <si>
    <t>COMMUNITY MOTHER AND NEW BORN HEALTH (C-MNH) PACKAGE by ASMs</t>
  </si>
  <si>
    <t>Average time spent during ANC Visit 1?</t>
  </si>
  <si>
    <t>Time spent in Minutes</t>
  </si>
  <si>
    <t>150-180mins</t>
  </si>
  <si>
    <t xml:space="preserve">40-60mins </t>
  </si>
  <si>
    <t>50-90mins</t>
  </si>
  <si>
    <t xml:space="preserve">What was it about the two different groups of ASMs that said 150-180 minutes for the first visit?  What are they doing in their visits that takes 2-6 times as long that the others are not? </t>
  </si>
  <si>
    <t>Average time spent during ANC Visit 2?</t>
  </si>
  <si>
    <t>150-195mins</t>
  </si>
  <si>
    <t>50 minutes</t>
  </si>
  <si>
    <t>120-150mins</t>
  </si>
  <si>
    <t>Again, very wide range.  What came out in the discussions?  Should the protocol vary that much?</t>
  </si>
  <si>
    <t>Average time spent during ANC Visit 3?</t>
  </si>
  <si>
    <t>180mins</t>
  </si>
  <si>
    <t>35, 45mins</t>
  </si>
  <si>
    <t>Average time spent providing delivery assistance</t>
  </si>
  <si>
    <t>2-4hrs</t>
  </si>
  <si>
    <t>2 hours</t>
  </si>
  <si>
    <t>90-120mins</t>
  </si>
  <si>
    <t xml:space="preserve">3 of the four in-charges provided estimates that were much lower; longer time seems reasonable if they accompany and wait.  </t>
  </si>
  <si>
    <t>Average time spent to take Misoprostol and administer to the delivered mother after a home birth?</t>
  </si>
  <si>
    <t xml:space="preserve">15mins </t>
  </si>
  <si>
    <t>15 min</t>
  </si>
  <si>
    <t>2 mins</t>
  </si>
  <si>
    <r>
      <t>120 min (</t>
    </r>
    <r>
      <rPr>
        <sz val="11"/>
        <color rgb="FFFF0000"/>
        <rFont val="Calibri"/>
        <family val="2"/>
        <scheme val="minor"/>
      </rPr>
      <t xml:space="preserve">this doesn't align at all with the responses - is it a mistake or is there a reason?) </t>
    </r>
    <r>
      <rPr>
        <sz val="11"/>
        <rFont val="Calibri"/>
        <family val="2"/>
        <scheme val="minor"/>
      </rPr>
      <t>we included the travel time otherwise it is only 15 min</t>
    </r>
  </si>
  <si>
    <t>Average time spent during PNC Visit 1 (normal weight) 3rd day?</t>
  </si>
  <si>
    <t>180min</t>
  </si>
  <si>
    <t>What is different about the ones who say they do it in 30 minutes vs. 180 minutes?  What is reasonable to expect on average, if the protocol is followed correctly?</t>
  </si>
  <si>
    <t>Average time spent during PNC Visit 2 (normal weight) 7-14 days?</t>
  </si>
  <si>
    <t>30 min - 180 minutes?  How long should it take?</t>
  </si>
  <si>
    <t>Average time spent during PNC Visit 1 for (underweight newborn) (3rd day)?</t>
  </si>
  <si>
    <t>150mins</t>
  </si>
  <si>
    <t>50-60mins</t>
  </si>
  <si>
    <t>90 minutes</t>
  </si>
  <si>
    <t>240mins</t>
  </si>
  <si>
    <t>Very wide variation -- what is reasonable on average to what is expected on the visit?</t>
  </si>
  <si>
    <t>Average time spent during PNC Visit 2 (underweight newborn) 7-14 days</t>
  </si>
  <si>
    <t>Average time spent during PNC Visit  (underweight newborn) 28 days</t>
  </si>
  <si>
    <t>Very wide variation -- what is reasonable on average  to what is expected on the visit?</t>
  </si>
  <si>
    <t>xi</t>
  </si>
  <si>
    <t>Average time spent to complete a neonatal referral and or maternal referral?</t>
  </si>
  <si>
    <t>Time spent in Minutes per referral</t>
  </si>
  <si>
    <t>3-15mins</t>
  </si>
  <si>
    <t>some variability here but we assume that more than the bare minimum is needed if the CHW needs to spend time talking through with the family why they are being referred and how the family will get there, etc.</t>
  </si>
  <si>
    <t>xii</t>
  </si>
  <si>
    <t>Average time spent conducting a follow up visit for counter-referral from health facility to CHW (for PNC, ANC)?</t>
  </si>
  <si>
    <t>C</t>
  </si>
  <si>
    <t>COMMUNITY BASED FAMILY PLANNING (FP) AND DISTRIBUTION – by Binomes and ASMs</t>
  </si>
  <si>
    <t>Average time spent for Male condom distribution including demonstration</t>
  </si>
  <si>
    <t>15-30mins</t>
  </si>
  <si>
    <t>20&amp;25mins</t>
  </si>
  <si>
    <t xml:space="preserve">This includes demonstration -- though for resupply presumably it is much less time.  Also, more comprehensive FP counseling is captured below.  </t>
  </si>
  <si>
    <t>Average time spent  to distribute Oral Contraceptives</t>
  </si>
  <si>
    <t>40 mins</t>
  </si>
  <si>
    <t>90 mins</t>
  </si>
  <si>
    <t>Our intention was that this was time spent per client and did not include travel time.  Counseling was intended to be captured separately.   If it was interpreted differently, adjustment may be needed to the consensus time.</t>
  </si>
  <si>
    <t>Average time spent to provide Depo Provera Injections</t>
  </si>
  <si>
    <t>90-120mim</t>
  </si>
  <si>
    <t>40-60mins</t>
  </si>
  <si>
    <t>30-40 mins</t>
  </si>
  <si>
    <t xml:space="preserve">Average time spent for cycle bead provision </t>
  </si>
  <si>
    <t>30mins (N/A)</t>
  </si>
  <si>
    <t>Not applicable</t>
  </si>
  <si>
    <t>60mins but N/A</t>
  </si>
  <si>
    <t>Are cycle beads not being used in practice in Rwamagana?  (Beads not available?)</t>
  </si>
  <si>
    <t xml:space="preserve">Average time spent for Postpartum FP counseling </t>
  </si>
  <si>
    <t xml:space="preserve">30mins </t>
  </si>
  <si>
    <t>Do the binomes do PPFP or are these estimates all for ASMs?  (The ASM seems more likely to be interacting with the woman post-partum.)</t>
  </si>
  <si>
    <t xml:space="preserve">Average time spent for  FP counseling </t>
  </si>
  <si>
    <t>no response</t>
  </si>
  <si>
    <t>Is there a good reason for the rural FP counseling to take less time than the urban?  It would seem like they should align.</t>
  </si>
  <si>
    <t>Proportion of FP services are provided by the ASM versus the Binome versus the health facility</t>
  </si>
  <si>
    <t>Percent or ratio</t>
  </si>
  <si>
    <t>45% CHWs; 55% HF</t>
  </si>
  <si>
    <t>ASM -60%; HF: 40%</t>
  </si>
  <si>
    <t>HC:30% ASM: 20% Binome: 50%</t>
  </si>
  <si>
    <t>CHW 60%; HF40%</t>
  </si>
  <si>
    <t>HC;30;          ASM-20%;      Binome 50%</t>
  </si>
  <si>
    <t>CHW - 25% of all FP ; 33% for pills and 34% for injectables.</t>
  </si>
  <si>
    <t xml:space="preserve">There seems to be some different perspective as to whether the majority of FP services are provided by HC vs. CHW.  Overall, what percent of the FP services does the MOH aim for CHWs to provide?  Is it different in urban vs. rural areas? </t>
  </si>
  <si>
    <t>DHS figures suggest that CHWs account for 25% of modern methods</t>
  </si>
  <si>
    <t xml:space="preserve">REPRODUCTIVE HEALTH PACKAGE </t>
  </si>
  <si>
    <t>Average time spent to</t>
  </si>
  <si>
    <t xml:space="preserve">a)      Accompany or </t>
  </si>
  <si>
    <t>240-480mins</t>
  </si>
  <si>
    <t>75mis</t>
  </si>
  <si>
    <t>120-210miins</t>
  </si>
  <si>
    <t>Variation expected due to variable distance from village to facility for VCT; Logically, the time should take at least twice what it takes one way to the HC (i.e. 2 x 80 min = 160 min; 2 x 85 = 170 min), unless this was interpretted differently.</t>
  </si>
  <si>
    <t xml:space="preserve">b) Referral for HIV testing (VCT) </t>
  </si>
  <si>
    <t>Average time spent by ASMs to accompany pregnant woman for HIV testing (PMTCT)</t>
  </si>
  <si>
    <t>80mins-210mins</t>
  </si>
  <si>
    <t>210 minutes</t>
  </si>
  <si>
    <t>Is there any reason it should not be the same for an ASM to accompany a pregnant woman to PMTCT as compared to the above question about accompanying someone to VCT?</t>
  </si>
  <si>
    <t>What percent of the time do CHWs accompany clients vs. referring for VCT</t>
  </si>
  <si>
    <t>Percent</t>
  </si>
  <si>
    <t>45%; 55%</t>
  </si>
  <si>
    <t>80%; 20%</t>
  </si>
  <si>
    <t>30%;70%</t>
  </si>
  <si>
    <t>20% :80% refer</t>
  </si>
  <si>
    <t>50-75%:25-50%</t>
  </si>
  <si>
    <t>70-80%; 20-30%</t>
  </si>
  <si>
    <t>20% accompany; 80% refer</t>
  </si>
  <si>
    <t>Accompany 20%; refer 80%</t>
  </si>
  <si>
    <t>Accompany 15%; refer 85%</t>
  </si>
  <si>
    <t xml:space="preserve">Accompany 5%; Refer 95% </t>
  </si>
  <si>
    <t>Accompany 20%;           refer 80%</t>
  </si>
  <si>
    <t>90%; 10%</t>
  </si>
  <si>
    <r>
      <t xml:space="preserve"> The comments in Kinyarwanda could change this -- in addition to your judgment.  Is there an urban-rural difference that we should factor in? </t>
    </r>
    <r>
      <rPr>
        <b/>
        <sz val="11"/>
        <color rgb="FFC00000"/>
        <rFont val="Calibri"/>
        <family val="2"/>
        <scheme val="minor"/>
      </rPr>
      <t>The CHP evaluation report notes that accompanying clients to HF for VCT is a PBF indicatorso one would think that this proportion will be higher.</t>
    </r>
  </si>
  <si>
    <t>COMMUNITY BASED NUTRITION PROGRAM by Binomes</t>
  </si>
  <si>
    <t>Average time spent on monthly Growth Monitoring at village level for weight and MUAC, per child</t>
  </si>
  <si>
    <t>Time in minutes per child</t>
  </si>
  <si>
    <t>20 mins</t>
  </si>
  <si>
    <t>10mins/mth/child</t>
  </si>
  <si>
    <t>15-20mins</t>
  </si>
  <si>
    <t>15 minutes/child</t>
  </si>
  <si>
    <t>15mins/per child</t>
  </si>
  <si>
    <t>3-7mins</t>
  </si>
  <si>
    <t>15 min/child</t>
  </si>
  <si>
    <t xml:space="preserve">Time spent during follow up at home for Malnutrition </t>
  </si>
  <si>
    <t xml:space="preserve">Time in minutes </t>
  </si>
  <si>
    <t>50 min/child</t>
  </si>
  <si>
    <t>20mins/child</t>
  </si>
  <si>
    <t>30-35mins</t>
  </si>
  <si>
    <t>50 min/malnourished child</t>
  </si>
  <si>
    <t>Are repeat visits for the same child common enough that they should be factored in?</t>
  </si>
  <si>
    <t xml:space="preserve">Time in minutes for Community based nutrition cooking demonstration </t>
  </si>
  <si>
    <t>240 mins/4 hrs</t>
  </si>
  <si>
    <t>180 mins</t>
  </si>
  <si>
    <t>300mins (5hrs)</t>
  </si>
  <si>
    <t>180 min (3 hours)</t>
  </si>
  <si>
    <t>180mins/day</t>
  </si>
  <si>
    <t>340mins</t>
  </si>
  <si>
    <t>How often are these held in the same village? (All of the binomes put the same 180 minutes,  so we went with what they said, asince they are the ones implmenting it.</t>
  </si>
  <si>
    <t>Time spent during in home food fortification (Ongera)</t>
  </si>
  <si>
    <t>60mins/mth</t>
  </si>
  <si>
    <t>60 minutes/months</t>
  </si>
  <si>
    <t>80mins</t>
  </si>
  <si>
    <t>60 minutes/month</t>
  </si>
  <si>
    <t xml:space="preserve">Answers vary a lot.  </t>
  </si>
  <si>
    <t>Time spent for promotion of kitchen gardens and livestock?</t>
  </si>
  <si>
    <t>300-360mins</t>
  </si>
  <si>
    <r>
      <t>360 minutes (</t>
    </r>
    <r>
      <rPr>
        <sz val="11"/>
        <color rgb="FFFF0000"/>
        <rFont val="Calibri"/>
        <family val="2"/>
        <scheme val="minor"/>
      </rPr>
      <t>why would this be so much longer than in rural area?  Most focus groups said less time than this even in urban area)</t>
    </r>
  </si>
  <si>
    <t>8hrs/day</t>
  </si>
  <si>
    <t>120 minutes</t>
  </si>
  <si>
    <t xml:space="preserve">Is this promotion taking place at the village level or individual HH?  Every month or only certain months?  </t>
  </si>
  <si>
    <t xml:space="preserve">BEHAVIOUR CHANGE COMMUNICATION </t>
  </si>
  <si>
    <r>
      <t xml:space="preserve">Are household home visits for health promotion by the binome part of the protocol for the CHP or is health promotion conducted mostly during village meetings? If as household visits then how long does such a typical home visit for health promotion last?    How often are binomes expected to do home visits?  Does every household get a visit quarterly, or monthly?  Only HH with children under five?  etc.  We did not ask about this in the interviews, perhaps because it was not an explicit part of the job description that we saw....but we want to double check expectations and practice in this area.  </t>
    </r>
    <r>
      <rPr>
        <b/>
        <sz val="11"/>
        <color rgb="FFC00000"/>
        <rFont val="Calibri"/>
        <family val="2"/>
        <scheme val="minor"/>
      </rPr>
      <t>CHP evaluation report notes that Health promotion is done at community level and not individual household visits</t>
    </r>
  </si>
  <si>
    <t xml:space="preserve">Duration for routine House-to-house visits for active case finding (quarterly) </t>
  </si>
  <si>
    <t>4hours</t>
  </si>
  <si>
    <t>6hrs/quarter</t>
  </si>
  <si>
    <t>Time to check for ITN use in house during a home visit.</t>
  </si>
  <si>
    <t>1 min</t>
  </si>
  <si>
    <t>15mins/hse</t>
  </si>
  <si>
    <t>4-30mins</t>
  </si>
  <si>
    <t>20mins/house</t>
  </si>
  <si>
    <t>20-30mins/hse</t>
  </si>
  <si>
    <t>4-15mins</t>
  </si>
  <si>
    <t xml:space="preserve">Responses vary so widely, it is hard to tell if people understood this question the same way.  In practice, how often would checking for ITN use take place?  Are the longer time estimates assuming it is part of a much longer visit for health promotion?  </t>
  </si>
  <si>
    <t>NON-COMMUNICABLE DISEASES AND HIV</t>
  </si>
  <si>
    <t>Time spent for community treatment adherence support including DOTs (HIV/TB)</t>
  </si>
  <si>
    <t>30 mins/day/patient</t>
  </si>
  <si>
    <t>20-45mins</t>
  </si>
  <si>
    <t>30 minutes/patient/day</t>
  </si>
  <si>
    <t>45mins/patient</t>
  </si>
  <si>
    <t>190mins</t>
  </si>
  <si>
    <t>30 min/patient/day</t>
  </si>
  <si>
    <t xml:space="preserve">Again, the answers vary.  </t>
  </si>
  <si>
    <t>HEALTH MANAGEMENT INFORMATION SYSTEMS</t>
  </si>
  <si>
    <t>Time spent on reporting of maternal deaths –</t>
  </si>
  <si>
    <t>Omitted in ASM's tool</t>
  </si>
  <si>
    <t xml:space="preserve">Question was omitted </t>
  </si>
  <si>
    <t>·         CHW assessment and reporting?</t>
  </si>
  <si>
    <t>minutes</t>
  </si>
  <si>
    <t>the question was asked for only CHWs in charge(Janvier)</t>
  </si>
  <si>
    <t>2 hrs</t>
  </si>
  <si>
    <t xml:space="preserve">Answers seem to range from 30 min - 2 hours; what is reasonable in light of the actual protocol? </t>
  </si>
  <si>
    <t>·        CHW participation in audit with HC?</t>
  </si>
  <si>
    <t>120 min</t>
  </si>
  <si>
    <t>Time spent on reporting of under 5 deaths –</t>
  </si>
  <si>
    <t xml:space="preserve">Time spent on reporting of deliveries in the catchment area </t>
  </si>
  <si>
    <t xml:space="preserve">ommitted </t>
  </si>
  <si>
    <t>k</t>
  </si>
  <si>
    <t>30 min</t>
  </si>
  <si>
    <t>Time spent by CHW on any other activities related to reporting and recording?</t>
  </si>
  <si>
    <t>minutes per week</t>
  </si>
  <si>
    <t>420 mins/7hrs</t>
  </si>
  <si>
    <t>120-240mins</t>
  </si>
  <si>
    <t>60mins/day X7</t>
  </si>
  <si>
    <t>30-60mins/day</t>
  </si>
  <si>
    <t>6h/day(they some time work on other report related activities that can take 6 hrs in a semester by estimation(6hrs/day/in 6 months)</t>
  </si>
  <si>
    <t>ASM: 15 min/week
Binome: 30min/week</t>
  </si>
  <si>
    <t>180mins/week</t>
  </si>
  <si>
    <t>180mins/wk</t>
  </si>
  <si>
    <t>99 hrs&amp;45mins/6mths</t>
  </si>
  <si>
    <t>20 hrs/year</t>
  </si>
  <si>
    <t>6hrs/q</t>
  </si>
  <si>
    <t>Wide variation.  Some of the numbers are so high they seem very unrealistic.</t>
  </si>
  <si>
    <r>
      <rPr>
        <sz val="11"/>
        <color rgb="FFC00000"/>
        <rFont val="Calibri"/>
        <family val="2"/>
        <scheme val="minor"/>
      </rPr>
      <t xml:space="preserve">The LSTM evaluation report notes that only 43% of active binomes were providing FP services and 63% TB; </t>
    </r>
    <r>
      <rPr>
        <b/>
        <sz val="11"/>
        <color theme="1"/>
        <rFont val="Calibri"/>
        <family val="2"/>
        <scheme val="minor"/>
      </rPr>
      <t xml:space="preserve"> Are most CHWs in Rwamagana providing these interventions?  If so, that could explain more time demands on the CHWs relative to the LSTMH evaluation.</t>
    </r>
  </si>
  <si>
    <t>Time estimates from Rwamagana, for reference</t>
  </si>
  <si>
    <t>Total time on activities</t>
  </si>
  <si>
    <t>Total time available</t>
  </si>
  <si>
    <t>reference for pie chart</t>
  </si>
  <si>
    <t>reference for total time available</t>
  </si>
  <si>
    <t>reference for total time needed</t>
  </si>
  <si>
    <t>Time needed (minutes)</t>
  </si>
  <si>
    <t>Time available (minutes)</t>
  </si>
  <si>
    <t>Annual minutes of time per CHW needed to accomplish SOW vs time available</t>
  </si>
  <si>
    <t>Graph of time needed vs Time available</t>
  </si>
  <si>
    <t>Excess workload</t>
  </si>
  <si>
    <t>Time distribution per CHW (hours per week)</t>
  </si>
  <si>
    <t xml:space="preserve"> Population in need (PIN) or annual incidence rate</t>
  </si>
  <si>
    <t>Reduced HP Implementation</t>
  </si>
  <si>
    <t>File</t>
  </si>
  <si>
    <t>Time spent in other recurring meetings</t>
  </si>
  <si>
    <t>Scenario Descriptions→</t>
  </si>
  <si>
    <r>
      <rPr>
        <b/>
        <sz val="11"/>
        <rFont val="Gill Sans MT"/>
        <family val="2"/>
      </rPr>
      <t xml:space="preserve">Scratch Paper: </t>
    </r>
    <r>
      <rPr>
        <sz val="11"/>
        <rFont val="Gill Sans MT"/>
        <family val="2"/>
      </rPr>
      <t>Use this sheet as you wish to make any intermediary calculations that may be necessary to get data in the form needed for entry on the other sheets and/or to save reference data from other sources.</t>
    </r>
  </si>
  <si>
    <t>Other meetings</t>
  </si>
  <si>
    <t>ATTENTION: THE PIE CHART REPRESENTS % OF TIME USE IN A THEORETICAL IDEAL WORLD WHERE EVERYTHING GETS IMPLEMENTED AS PLANNED WITHOUT TIME CONSTRAINT.</t>
  </si>
  <si>
    <t>Distribution of CHW time by task</t>
  </si>
  <si>
    <t>hours/week</t>
  </si>
  <si>
    <t>4. Policy Interactive Screen for analyzing CHW needs (Please read comments for additional explanation)</t>
  </si>
  <si>
    <t>Percentage of available time occupied by all activities</t>
  </si>
  <si>
    <t>Percentage of planned activities that can implemented with available/planned CHWs</t>
  </si>
  <si>
    <t>Intervention and activity analysis by CHW cadre and scenario, as selected below</t>
  </si>
  <si>
    <t>Major Activities</t>
  </si>
  <si>
    <r>
      <t>Scenario Names</t>
    </r>
    <r>
      <rPr>
        <b/>
        <sz val="11"/>
        <color theme="1"/>
        <rFont val="Calibri"/>
        <family val="2"/>
      </rPr>
      <t>→</t>
    </r>
  </si>
  <si>
    <t>Country</t>
  </si>
  <si>
    <t>MN+</t>
  </si>
  <si>
    <t>2. Community Health Worker Input and Time Use (Please read comment)</t>
  </si>
  <si>
    <t>3. Intervention Details (Please read comment)</t>
  </si>
  <si>
    <t>Date last edited</t>
  </si>
  <si>
    <t>Comment</t>
  </si>
  <si>
    <t>Please do not add or delete rows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</si>
</sst>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_);_(* \(#,##0.00\);_(* &quot;-&quot;??_);_(@_)"/>
    <numFmt numFmtId="164" formatCode="_(* #,##0_);_(* \(#,##0\);_(* &quot;-&quot;??_);_(@_)"/>
    <numFmt numFmtId="165" formatCode="0.0%"/>
    <numFmt numFmtId="166" formatCode="_(* #,##0.0_);_(* \(#,##0.0\);_(* &quot;-&quot;??_);_(@_)"/>
    <numFmt numFmtId="167" formatCode="0.0"/>
    <numFmt numFmtId="168" formatCode="#\ ###\ ###\ ##0;\-#\ ###\ ###\ ##0;0"/>
    <numFmt numFmtId="169" formatCode="#,##0.0"/>
  </numFmts>
  <fonts count="65" x14ac:knownFonts="1">
    <font>
      <sz val="11"/>
      <color theme="1"/>
      <name val="Calibri"/>
      <family val="2"/>
      <scheme val="minor"/>
    </font>
    <font>
      <sz val="11"/>
      <color theme="1"/>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b/>
      <i/>
      <sz val="11"/>
      <color rgb="FFFF0000"/>
      <name val="Calibri"/>
      <family val="2"/>
      <scheme val="minor"/>
    </font>
    <font>
      <b/>
      <sz val="11"/>
      <name val="Calibri"/>
      <family val="2"/>
      <scheme val="minor"/>
    </font>
    <font>
      <b/>
      <i/>
      <sz val="12"/>
      <color rgb="FFFF0000"/>
      <name val="Calibri"/>
      <family val="2"/>
      <scheme val="minor"/>
    </font>
    <font>
      <sz val="11"/>
      <name val="Calibri"/>
      <family val="2"/>
      <scheme val="minor"/>
    </font>
    <font>
      <i/>
      <sz val="11"/>
      <color theme="1"/>
      <name val="Calibri"/>
      <family val="2"/>
      <scheme val="minor"/>
    </font>
    <font>
      <b/>
      <sz val="9"/>
      <color indexed="81"/>
      <name val="Tahoma"/>
      <family val="2"/>
    </font>
    <font>
      <b/>
      <i/>
      <sz val="11"/>
      <color theme="1"/>
      <name val="Calibri"/>
      <family val="2"/>
      <scheme val="minor"/>
    </font>
    <font>
      <sz val="9"/>
      <color indexed="81"/>
      <name val="Tahoma"/>
      <family val="2"/>
    </font>
    <font>
      <sz val="11"/>
      <color theme="0" tint="-0.34998626667073579"/>
      <name val="Calibri"/>
      <family val="2"/>
      <scheme val="minor"/>
    </font>
    <font>
      <b/>
      <i/>
      <sz val="11"/>
      <color theme="0"/>
      <name val="Calibri"/>
      <family val="2"/>
      <scheme val="minor"/>
    </font>
    <font>
      <u/>
      <sz val="11"/>
      <color theme="10"/>
      <name val="Calibri"/>
      <family val="2"/>
      <scheme val="minor"/>
    </font>
    <font>
      <b/>
      <i/>
      <u/>
      <sz val="11"/>
      <color rgb="FFFF0000"/>
      <name val="Calibri"/>
      <family val="2"/>
      <scheme val="minor"/>
    </font>
    <font>
      <b/>
      <u/>
      <sz val="9"/>
      <color theme="10"/>
      <name val="Calibri"/>
      <family val="2"/>
      <scheme val="minor"/>
    </font>
    <font>
      <b/>
      <sz val="9"/>
      <name val="Calibri"/>
      <family val="2"/>
      <scheme val="minor"/>
    </font>
    <font>
      <sz val="12"/>
      <color theme="1"/>
      <name val="Times New Roman"/>
      <family val="2"/>
    </font>
    <font>
      <b/>
      <sz val="9"/>
      <color theme="1"/>
      <name val="Calibri"/>
      <family val="2"/>
      <scheme val="minor"/>
    </font>
    <font>
      <b/>
      <sz val="9"/>
      <color theme="1"/>
      <name val="Arial"/>
      <family val="2"/>
    </font>
    <font>
      <b/>
      <sz val="12"/>
      <color theme="1"/>
      <name val="Arial"/>
      <family val="2"/>
    </font>
    <font>
      <b/>
      <sz val="10"/>
      <color theme="1"/>
      <name val="Arial"/>
      <family val="2"/>
    </font>
    <font>
      <b/>
      <i/>
      <sz val="10"/>
      <color theme="1"/>
      <name val="Arial"/>
      <family val="2"/>
    </font>
    <font>
      <sz val="9"/>
      <color theme="1"/>
      <name val="Arial"/>
      <family val="2"/>
    </font>
    <font>
      <i/>
      <sz val="8"/>
      <color theme="1"/>
      <name val="Arial"/>
      <family val="2"/>
    </font>
    <font>
      <b/>
      <sz val="16"/>
      <color theme="0"/>
      <name val="Calibri"/>
      <family val="2"/>
      <scheme val="minor"/>
    </font>
    <font>
      <i/>
      <sz val="9"/>
      <color indexed="81"/>
      <name val="Tahoma"/>
      <family val="2"/>
    </font>
    <font>
      <b/>
      <sz val="16"/>
      <color theme="0"/>
      <name val="Gill Sans MT"/>
      <family val="2"/>
    </font>
    <font>
      <b/>
      <sz val="11"/>
      <color theme="1"/>
      <name val="Gill Sans MT"/>
      <family val="2"/>
    </font>
    <font>
      <b/>
      <sz val="11"/>
      <name val="Gill Sans MT"/>
      <family val="2"/>
    </font>
    <font>
      <b/>
      <i/>
      <sz val="11"/>
      <color rgb="FFFF0000"/>
      <name val="Gill Sans MT"/>
      <family val="2"/>
    </font>
    <font>
      <b/>
      <sz val="11"/>
      <color rgb="FFFF0000"/>
      <name val="Gill Sans MT"/>
      <family val="2"/>
    </font>
    <font>
      <b/>
      <i/>
      <sz val="11"/>
      <color theme="1"/>
      <name val="Gill Sans MT"/>
      <family val="2"/>
    </font>
    <font>
      <b/>
      <sz val="11"/>
      <color theme="0"/>
      <name val="Gill Sans MT"/>
      <family val="2"/>
    </font>
    <font>
      <b/>
      <i/>
      <sz val="11"/>
      <name val="Gill Sans MT"/>
      <family val="2"/>
    </font>
    <font>
      <sz val="11"/>
      <color theme="1"/>
      <name val="Gill Sans MT"/>
      <family val="2"/>
    </font>
    <font>
      <b/>
      <sz val="16"/>
      <color theme="1"/>
      <name val="Gill Sans MT"/>
      <family val="2"/>
    </font>
    <font>
      <sz val="11"/>
      <name val="Gill Sans MT"/>
      <family val="2"/>
    </font>
    <font>
      <i/>
      <sz val="11"/>
      <color theme="1"/>
      <name val="Gill Sans MT"/>
      <family val="2"/>
    </font>
    <font>
      <sz val="11"/>
      <color theme="0"/>
      <name val="Gill Sans MT"/>
      <family val="2"/>
    </font>
    <font>
      <b/>
      <sz val="11"/>
      <color theme="8" tint="0.79998168889431442"/>
      <name val="Gill Sans MT"/>
      <family val="2"/>
    </font>
    <font>
      <b/>
      <i/>
      <sz val="11"/>
      <color theme="0"/>
      <name val="Gill Sans MT"/>
      <family val="2"/>
    </font>
    <font>
      <b/>
      <sz val="12"/>
      <color theme="0"/>
      <name val="Gill Sans MT"/>
      <family val="2"/>
    </font>
    <font>
      <b/>
      <sz val="12"/>
      <color theme="1"/>
      <name val="Gill Sans MT"/>
      <family val="2"/>
    </font>
    <font>
      <b/>
      <sz val="11"/>
      <color rgb="FFC00000"/>
      <name val="Calibri"/>
      <family val="2"/>
      <scheme val="minor"/>
    </font>
    <font>
      <b/>
      <sz val="11"/>
      <color rgb="FF7030A0"/>
      <name val="Calibri"/>
      <family val="2"/>
      <scheme val="minor"/>
    </font>
    <font>
      <b/>
      <sz val="11"/>
      <color rgb="FFFF0000"/>
      <name val="Calibri"/>
      <family val="2"/>
      <scheme val="minor"/>
    </font>
    <font>
      <b/>
      <sz val="11"/>
      <color rgb="FF0066FF"/>
      <name val="Calibri"/>
      <family val="2"/>
      <scheme val="minor"/>
    </font>
    <font>
      <sz val="10"/>
      <color theme="1"/>
      <name val="Calibri"/>
      <family val="2"/>
      <scheme val="minor"/>
    </font>
    <font>
      <sz val="11"/>
      <color rgb="FFC00000"/>
      <name val="Calibri"/>
      <family val="2"/>
      <scheme val="minor"/>
    </font>
    <font>
      <sz val="11"/>
      <color rgb="FF00B050"/>
      <name val="Calibri"/>
      <family val="2"/>
      <scheme val="minor"/>
    </font>
    <font>
      <sz val="11"/>
      <color theme="4"/>
      <name val="Calibri"/>
      <family val="2"/>
      <scheme val="minor"/>
    </font>
    <font>
      <sz val="11"/>
      <color rgb="FF0070C0"/>
      <name val="Calibri"/>
      <family val="2"/>
      <scheme val="minor"/>
    </font>
    <font>
      <b/>
      <sz val="12"/>
      <color theme="1"/>
      <name val="Calibri"/>
      <family val="2"/>
      <scheme val="minor"/>
    </font>
    <font>
      <b/>
      <sz val="20"/>
      <color theme="1"/>
      <name val="Calibri"/>
      <family val="2"/>
      <scheme val="minor"/>
    </font>
    <font>
      <sz val="11"/>
      <color rgb="FFFF0000"/>
      <name val="Gill Sans MT"/>
      <family val="2"/>
    </font>
    <font>
      <b/>
      <sz val="14"/>
      <color theme="0"/>
      <name val="Gill Sans MT"/>
      <family val="2"/>
    </font>
    <font>
      <sz val="8"/>
      <color theme="1"/>
      <name val="Calibri"/>
      <family val="2"/>
      <scheme val="minor"/>
    </font>
    <font>
      <sz val="11"/>
      <color rgb="FF00B050"/>
      <name val="Gill Sans MT"/>
      <family val="2"/>
    </font>
    <font>
      <sz val="14"/>
      <color rgb="FFFF0000"/>
      <name val="Gill Sans MT"/>
      <family val="2"/>
    </font>
    <font>
      <sz val="8"/>
      <name val="Gill Sans MT"/>
      <family val="2"/>
    </font>
    <font>
      <b/>
      <sz val="11"/>
      <color theme="1"/>
      <name val="Calibri"/>
      <family val="2"/>
    </font>
  </fonts>
  <fills count="20">
    <fill>
      <patternFill patternType="none"/>
    </fill>
    <fill>
      <patternFill patternType="gray125"/>
    </fill>
    <fill>
      <patternFill patternType="solid">
        <fgColor theme="8" tint="0.79998168889431442"/>
        <bgColor indexed="64"/>
      </patternFill>
    </fill>
    <fill>
      <patternFill patternType="solid">
        <fgColor theme="0"/>
        <bgColor indexed="64"/>
      </patternFill>
    </fill>
    <fill>
      <patternFill patternType="solid">
        <fgColor rgb="FFFFFF00"/>
        <bgColor indexed="64"/>
      </patternFill>
    </fill>
    <fill>
      <patternFill patternType="solid">
        <fgColor theme="8" tint="-0.499984740745262"/>
        <bgColor indexed="64"/>
      </patternFill>
    </fill>
    <fill>
      <patternFill patternType="solid">
        <fgColor theme="8" tint="-0.249977111117893"/>
        <bgColor indexed="64"/>
      </patternFill>
    </fill>
    <fill>
      <patternFill patternType="solid">
        <fgColor theme="3" tint="0.79998168889431442"/>
        <bgColor indexed="64"/>
      </patternFill>
    </fill>
    <fill>
      <patternFill patternType="solid">
        <fgColor indexed="41"/>
        <bgColor indexed="64"/>
      </patternFill>
    </fill>
    <fill>
      <patternFill patternType="solid">
        <fgColor indexed="44"/>
        <bgColor indexed="64"/>
      </patternFill>
    </fill>
    <fill>
      <patternFill patternType="solid">
        <fgColor rgb="FFFF0000"/>
        <bgColor indexed="64"/>
      </patternFill>
    </fill>
    <fill>
      <patternFill patternType="solid">
        <fgColor theme="9" tint="0.79998168889431442"/>
        <bgColor indexed="64"/>
      </patternFill>
    </fill>
    <fill>
      <patternFill patternType="solid">
        <fgColor theme="0" tint="-4.9989318521683403E-2"/>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theme="9" tint="0.39997558519241921"/>
        <bgColor indexed="64"/>
      </patternFill>
    </fill>
    <fill>
      <patternFill patternType="solid">
        <fgColor theme="7" tint="0.79998168889431442"/>
        <bgColor indexed="64"/>
      </patternFill>
    </fill>
    <fill>
      <patternFill patternType="solid">
        <fgColor theme="9" tint="0.59999389629810485"/>
        <bgColor indexed="64"/>
      </patternFill>
    </fill>
    <fill>
      <patternFill patternType="solid">
        <fgColor rgb="FFFFC000"/>
        <bgColor indexed="64"/>
      </patternFill>
    </fill>
    <fill>
      <patternFill patternType="solid">
        <fgColor rgb="FF00B050"/>
        <bgColor indexed="64"/>
      </patternFill>
    </fill>
  </fills>
  <borders count="64">
    <border>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auto="1"/>
      </right>
      <top style="thin">
        <color auto="1"/>
      </top>
      <bottom style="thin">
        <color theme="0"/>
      </bottom>
      <diagonal/>
    </border>
    <border>
      <left/>
      <right style="thin">
        <color auto="1"/>
      </right>
      <top/>
      <bottom style="thin">
        <color theme="0"/>
      </bottom>
      <diagonal/>
    </border>
    <border>
      <left/>
      <right style="thin">
        <color auto="1"/>
      </right>
      <top style="thin">
        <color theme="0"/>
      </top>
      <bottom style="thin">
        <color theme="0"/>
      </bottom>
      <diagonal/>
    </border>
    <border>
      <left/>
      <right style="thin">
        <color auto="1"/>
      </right>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top style="thin">
        <color indexed="64"/>
      </top>
      <bottom style="thin">
        <color theme="0"/>
      </bottom>
      <diagonal/>
    </border>
    <border>
      <left style="thin">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diagonal/>
    </border>
    <border>
      <left/>
      <right style="thin">
        <color auto="1"/>
      </right>
      <top style="thin">
        <color auto="1"/>
      </top>
      <bottom/>
      <diagonal/>
    </border>
    <border>
      <left/>
      <right/>
      <top style="thin">
        <color theme="0"/>
      </top>
      <bottom style="thin">
        <color theme="0"/>
      </bottom>
      <diagonal/>
    </border>
    <border>
      <left/>
      <right/>
      <top style="thin">
        <color indexed="64"/>
      </top>
      <bottom style="thin">
        <color theme="0"/>
      </bottom>
      <diagonal/>
    </border>
    <border>
      <left/>
      <right style="thin">
        <color auto="1"/>
      </right>
      <top/>
      <bottom/>
      <diagonal/>
    </border>
    <border>
      <left/>
      <right/>
      <top/>
      <bottom style="thin">
        <color indexed="64"/>
      </bottom>
      <diagonal/>
    </border>
    <border>
      <left style="thin">
        <color indexed="64"/>
      </left>
      <right/>
      <top style="thin">
        <color theme="0"/>
      </top>
      <bottom style="thin">
        <color theme="0"/>
      </bottom>
      <diagonal/>
    </border>
    <border>
      <left style="thin">
        <color indexed="64"/>
      </left>
      <right/>
      <top style="thin">
        <color theme="0"/>
      </top>
      <bottom style="thin">
        <color indexed="64"/>
      </bottom>
      <diagonal/>
    </border>
    <border>
      <left/>
      <right/>
      <top style="thin">
        <color theme="0"/>
      </top>
      <bottom style="thin">
        <color indexed="64"/>
      </bottom>
      <diagonal/>
    </border>
    <border>
      <left/>
      <right style="thin">
        <color indexed="64"/>
      </right>
      <top style="thin">
        <color theme="0"/>
      </top>
      <bottom style="thin">
        <color indexed="64"/>
      </bottom>
      <diagonal/>
    </border>
    <border>
      <left style="thin">
        <color indexed="64"/>
      </left>
      <right style="thin">
        <color indexed="64"/>
      </right>
      <top style="thin">
        <color indexed="64"/>
      </top>
      <bottom/>
      <diagonal/>
    </border>
    <border>
      <left style="thin">
        <color indexed="64"/>
      </left>
      <right style="thin">
        <color auto="1"/>
      </right>
      <top/>
      <bottom/>
      <diagonal/>
    </border>
    <border>
      <left style="thin">
        <color indexed="64"/>
      </left>
      <right style="thin">
        <color auto="1"/>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thin">
        <color theme="0"/>
      </bottom>
      <diagonal/>
    </border>
    <border>
      <left/>
      <right/>
      <top style="thin">
        <color theme="0"/>
      </top>
      <bottom/>
      <diagonal/>
    </border>
    <border>
      <left style="thin">
        <color indexed="64"/>
      </left>
      <right style="thin">
        <color indexed="64"/>
      </right>
      <top/>
      <bottom style="thin">
        <color theme="0"/>
      </bottom>
      <diagonal/>
    </border>
    <border>
      <left style="thin">
        <color indexed="64"/>
      </left>
      <right style="thin">
        <color indexed="64"/>
      </right>
      <top style="thin">
        <color theme="0"/>
      </top>
      <bottom style="thin">
        <color theme="0"/>
      </bottom>
      <diagonal/>
    </border>
    <border>
      <left style="thin">
        <color indexed="64"/>
      </left>
      <right style="thin">
        <color indexed="64"/>
      </right>
      <top style="thin">
        <color theme="0"/>
      </top>
      <bottom style="thin">
        <color indexed="64"/>
      </bottom>
      <diagonal/>
    </border>
    <border>
      <left/>
      <right/>
      <top style="thin">
        <color indexed="64"/>
      </top>
      <bottom style="thin">
        <color indexed="64"/>
      </bottom>
      <diagonal/>
    </border>
    <border>
      <left style="medium">
        <color indexed="64"/>
      </left>
      <right/>
      <top style="thin">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medium">
        <color indexed="64"/>
      </left>
      <right style="thin">
        <color auto="1"/>
      </right>
      <top/>
      <bottom/>
      <diagonal/>
    </border>
    <border>
      <left style="medium">
        <color indexed="64"/>
      </left>
      <right style="thin">
        <color auto="1"/>
      </right>
      <top/>
      <bottom style="medium">
        <color indexed="64"/>
      </bottom>
      <diagonal/>
    </border>
    <border>
      <left/>
      <right style="thin">
        <color indexed="64"/>
      </right>
      <top/>
      <bottom style="medium">
        <color indexed="64"/>
      </bottom>
      <diagonal/>
    </border>
    <border>
      <left style="thin">
        <color indexed="64"/>
      </left>
      <right style="thin">
        <color indexed="64"/>
      </right>
      <top style="thin">
        <color indexed="64"/>
      </top>
      <bottom style="thin">
        <color indexed="64"/>
      </bottom>
      <diagonal/>
    </border>
    <border>
      <left/>
      <right style="thin">
        <color indexed="64"/>
      </right>
      <top style="medium">
        <color indexed="64"/>
      </top>
      <bottom style="medium">
        <color indexed="64"/>
      </bottom>
      <diagonal/>
    </border>
    <border>
      <left/>
      <right style="hair">
        <color indexed="64"/>
      </right>
      <top style="hair">
        <color indexed="64"/>
      </top>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right style="hair">
        <color indexed="64"/>
      </right>
      <top/>
      <bottom/>
      <diagonal/>
    </border>
    <border>
      <left style="hair">
        <color indexed="64"/>
      </left>
      <right style="hair">
        <color indexed="64"/>
      </right>
      <top/>
      <bottom style="hair">
        <color indexed="64"/>
      </bottom>
      <diagonal/>
    </border>
    <border>
      <left/>
      <right/>
      <top/>
      <bottom style="hair">
        <color indexed="64"/>
      </bottom>
      <diagonal/>
    </border>
    <border>
      <left style="hair">
        <color indexed="64"/>
      </left>
      <right style="hair">
        <color indexed="64"/>
      </right>
      <top/>
      <bottom/>
      <diagonal/>
    </border>
  </borders>
  <cellStyleXfs count="5">
    <xf numFmtId="0" fontId="0" fillId="0" borderId="0"/>
    <xf numFmtId="43" fontId="1" fillId="0" borderId="0" applyFont="0" applyFill="0" applyBorder="0" applyAlignment="0" applyProtection="0"/>
    <xf numFmtId="9" fontId="1" fillId="0" borderId="0" applyFont="0" applyFill="0" applyBorder="0" applyAlignment="0" applyProtection="0"/>
    <xf numFmtId="0" fontId="16" fillId="0" borderId="0" applyNumberFormat="0" applyFill="0" applyBorder="0" applyAlignment="0" applyProtection="0"/>
    <xf numFmtId="0" fontId="20" fillId="0" borderId="0"/>
  </cellStyleXfs>
  <cellXfs count="630">
    <xf numFmtId="0" fontId="0" fillId="0" borderId="0" xfId="0"/>
    <xf numFmtId="0" fontId="4" fillId="0" borderId="0" xfId="0" applyFont="1" applyFill="1"/>
    <xf numFmtId="0" fontId="4" fillId="0" borderId="0" xfId="0" applyFont="1"/>
    <xf numFmtId="0" fontId="4" fillId="2" borderId="2" xfId="0" applyFont="1" applyFill="1" applyBorder="1" applyAlignment="1" applyProtection="1">
      <alignment horizontal="center"/>
      <protection locked="0"/>
    </xf>
    <xf numFmtId="0" fontId="3" fillId="0" borderId="0" xfId="0" applyFont="1"/>
    <xf numFmtId="0" fontId="4" fillId="0" borderId="11" xfId="0" applyFont="1" applyBorder="1" applyAlignment="1">
      <alignment horizontal="center" vertical="center" wrapText="1"/>
    </xf>
    <xf numFmtId="0" fontId="4" fillId="0" borderId="12" xfId="0" applyFont="1" applyBorder="1" applyAlignment="1">
      <alignment horizontal="center" vertical="center"/>
    </xf>
    <xf numFmtId="0" fontId="4" fillId="0" borderId="13" xfId="0" applyFont="1" applyBorder="1" applyAlignment="1">
      <alignment horizontal="center" vertical="center"/>
    </xf>
    <xf numFmtId="0" fontId="4" fillId="0" borderId="0" xfId="0" applyFont="1" applyBorder="1" applyAlignment="1">
      <alignment horizontal="center" vertical="center" wrapText="1"/>
    </xf>
    <xf numFmtId="0" fontId="4" fillId="0" borderId="0" xfId="0" applyFont="1" applyBorder="1" applyAlignment="1">
      <alignment horizontal="center" vertical="center"/>
    </xf>
    <xf numFmtId="0" fontId="4" fillId="0" borderId="7" xfId="0" applyFont="1" applyBorder="1"/>
    <xf numFmtId="164" fontId="0" fillId="0" borderId="14" xfId="1" applyNumberFormat="1" applyFont="1" applyFill="1" applyBorder="1"/>
    <xf numFmtId="0" fontId="4" fillId="0" borderId="10" xfId="0" applyFont="1" applyBorder="1" applyAlignment="1">
      <alignment wrapText="1"/>
    </xf>
    <xf numFmtId="164" fontId="0" fillId="0" borderId="7" xfId="1" applyNumberFormat="1" applyFont="1" applyFill="1" applyBorder="1"/>
    <xf numFmtId="164" fontId="9" fillId="2" borderId="16" xfId="1" applyNumberFormat="1" applyFont="1" applyFill="1" applyBorder="1" applyProtection="1">
      <protection locked="0"/>
    </xf>
    <xf numFmtId="164" fontId="0" fillId="0" borderId="10" xfId="1" applyNumberFormat="1" applyFont="1" applyFill="1" applyBorder="1"/>
    <xf numFmtId="0" fontId="4" fillId="0" borderId="8" xfId="0" applyFont="1" applyBorder="1" applyAlignment="1">
      <alignment wrapText="1"/>
    </xf>
    <xf numFmtId="164" fontId="0" fillId="0" borderId="8" xfId="1" applyNumberFormat="1" applyFont="1" applyFill="1" applyBorder="1"/>
    <xf numFmtId="0" fontId="0" fillId="0" borderId="0" xfId="0" applyFill="1"/>
    <xf numFmtId="0" fontId="4" fillId="3" borderId="10" xfId="0" applyFont="1" applyFill="1" applyBorder="1"/>
    <xf numFmtId="9" fontId="1" fillId="3" borderId="7" xfId="2" applyFont="1" applyFill="1" applyBorder="1"/>
    <xf numFmtId="9" fontId="1" fillId="2" borderId="17" xfId="2" applyFont="1" applyFill="1" applyBorder="1" applyProtection="1">
      <protection locked="0"/>
    </xf>
    <xf numFmtId="9" fontId="1" fillId="3" borderId="10" xfId="2" applyFont="1" applyFill="1" applyBorder="1"/>
    <xf numFmtId="9" fontId="1" fillId="2" borderId="0" xfId="2" applyFont="1" applyFill="1" applyBorder="1" applyProtection="1">
      <protection locked="0"/>
    </xf>
    <xf numFmtId="9" fontId="1" fillId="0" borderId="0" xfId="2" applyFont="1" applyFill="1" applyBorder="1" applyProtection="1"/>
    <xf numFmtId="0" fontId="4" fillId="3" borderId="7" xfId="0" applyFont="1" applyFill="1" applyBorder="1"/>
    <xf numFmtId="164" fontId="1" fillId="3" borderId="7" xfId="1" applyNumberFormat="1" applyFont="1" applyFill="1" applyBorder="1"/>
    <xf numFmtId="164" fontId="1" fillId="0" borderId="14" xfId="1" applyNumberFormat="1" applyFont="1" applyFill="1" applyBorder="1" applyProtection="1"/>
    <xf numFmtId="164" fontId="1" fillId="3" borderId="10" xfId="1" applyNumberFormat="1" applyFont="1" applyFill="1" applyBorder="1"/>
    <xf numFmtId="164" fontId="1" fillId="3" borderId="0" xfId="1" applyNumberFormat="1" applyFont="1" applyFill="1" applyBorder="1" applyProtection="1"/>
    <xf numFmtId="0" fontId="4" fillId="3" borderId="8" xfId="0" applyFont="1" applyFill="1" applyBorder="1"/>
    <xf numFmtId="164" fontId="1" fillId="3" borderId="8" xfId="1" applyNumberFormat="1" applyFont="1" applyFill="1" applyBorder="1"/>
    <xf numFmtId="164" fontId="1" fillId="3" borderId="19" xfId="1" applyNumberFormat="1" applyFont="1" applyFill="1" applyBorder="1"/>
    <xf numFmtId="0" fontId="0" fillId="0" borderId="14" xfId="0" applyBorder="1"/>
    <xf numFmtId="0" fontId="0" fillId="0" borderId="0" xfId="0" applyBorder="1"/>
    <xf numFmtId="0" fontId="4" fillId="0" borderId="10" xfId="0" applyFont="1" applyFill="1" applyBorder="1"/>
    <xf numFmtId="0" fontId="4" fillId="0" borderId="8" xfId="0" applyFont="1" applyFill="1" applyBorder="1"/>
    <xf numFmtId="0" fontId="4" fillId="0" borderId="7" xfId="0" applyFont="1" applyBorder="1" applyAlignment="1">
      <alignment wrapText="1"/>
    </xf>
    <xf numFmtId="164" fontId="9" fillId="0" borderId="17" xfId="1" applyNumberFormat="1" applyFont="1" applyFill="1" applyBorder="1"/>
    <xf numFmtId="164" fontId="9" fillId="0" borderId="0" xfId="1" applyNumberFormat="1" applyFont="1" applyFill="1" applyBorder="1"/>
    <xf numFmtId="164" fontId="9" fillId="0" borderId="19" xfId="1" applyNumberFormat="1" applyFont="1" applyFill="1" applyBorder="1"/>
    <xf numFmtId="9" fontId="0" fillId="0" borderId="0" xfId="2" applyFont="1" applyFill="1" applyBorder="1"/>
    <xf numFmtId="9" fontId="1" fillId="0" borderId="0" xfId="2" applyFont="1" applyFill="1" applyBorder="1"/>
    <xf numFmtId="164" fontId="1" fillId="0" borderId="19" xfId="1" applyNumberFormat="1" applyFont="1" applyFill="1" applyBorder="1"/>
    <xf numFmtId="9" fontId="0" fillId="3" borderId="10" xfId="2" applyFont="1" applyFill="1" applyBorder="1"/>
    <xf numFmtId="164" fontId="1" fillId="0" borderId="0" xfId="1" applyNumberFormat="1" applyFont="1" applyFill="1" applyBorder="1"/>
    <xf numFmtId="164" fontId="0" fillId="0" borderId="19" xfId="1" applyNumberFormat="1" applyFont="1" applyBorder="1"/>
    <xf numFmtId="164" fontId="0" fillId="0" borderId="14" xfId="1" applyNumberFormat="1" applyFont="1" applyBorder="1"/>
    <xf numFmtId="164" fontId="0" fillId="0" borderId="0" xfId="1" applyNumberFormat="1" applyFont="1" applyBorder="1"/>
    <xf numFmtId="164" fontId="0" fillId="0" borderId="18" xfId="1" applyNumberFormat="1" applyFont="1" applyBorder="1"/>
    <xf numFmtId="0" fontId="9" fillId="0" borderId="0" xfId="0" applyFont="1" applyFill="1"/>
    <xf numFmtId="0" fontId="4" fillId="0" borderId="11" xfId="0" applyFont="1" applyFill="1" applyBorder="1" applyAlignment="1">
      <alignment vertical="center"/>
    </xf>
    <xf numFmtId="0" fontId="4" fillId="0" borderId="13" xfId="0" applyFont="1" applyFill="1" applyBorder="1" applyAlignment="1">
      <alignment horizontal="center" vertical="center" wrapText="1"/>
    </xf>
    <xf numFmtId="0" fontId="10" fillId="0" borderId="0" xfId="0" applyFont="1" applyFill="1"/>
    <xf numFmtId="0" fontId="4" fillId="0" borderId="0" xfId="0" applyFont="1" applyFill="1" applyAlignment="1">
      <alignment horizontal="center" vertical="center" wrapText="1"/>
    </xf>
    <xf numFmtId="0" fontId="0" fillId="0" borderId="0" xfId="0" applyFill="1" applyAlignment="1">
      <alignment horizontal="left" indent="1"/>
    </xf>
    <xf numFmtId="0" fontId="0" fillId="2" borderId="3" xfId="0" applyFill="1" applyBorder="1" applyAlignment="1" applyProtection="1">
      <alignment horizontal="center"/>
      <protection locked="0"/>
    </xf>
    <xf numFmtId="0" fontId="0" fillId="2" borderId="5" xfId="0" applyFill="1" applyBorder="1" applyAlignment="1" applyProtection="1">
      <alignment horizontal="center"/>
      <protection locked="0"/>
    </xf>
    <xf numFmtId="0" fontId="10" fillId="0" borderId="0" xfId="0" applyFont="1" applyFill="1" applyBorder="1"/>
    <xf numFmtId="0" fontId="4" fillId="0" borderId="27" xfId="0" applyFont="1" applyFill="1" applyBorder="1"/>
    <xf numFmtId="0" fontId="4" fillId="0" borderId="28" xfId="0" applyFont="1" applyFill="1" applyBorder="1"/>
    <xf numFmtId="0" fontId="4" fillId="0" borderId="29" xfId="0" applyFont="1" applyFill="1" applyBorder="1"/>
    <xf numFmtId="0" fontId="4" fillId="0" borderId="30" xfId="0" applyFont="1" applyFill="1" applyBorder="1"/>
    <xf numFmtId="0" fontId="4" fillId="0" borderId="1" xfId="0" applyFont="1" applyFill="1" applyBorder="1"/>
    <xf numFmtId="0" fontId="7" fillId="2" borderId="2" xfId="0" applyFont="1" applyFill="1" applyBorder="1" applyAlignment="1" applyProtection="1">
      <alignment horizontal="center"/>
      <protection locked="0"/>
    </xf>
    <xf numFmtId="0" fontId="4" fillId="0" borderId="31" xfId="0" applyFont="1" applyFill="1" applyBorder="1"/>
    <xf numFmtId="0" fontId="6" fillId="0" borderId="0" xfId="0" applyFont="1" applyFill="1"/>
    <xf numFmtId="0" fontId="4" fillId="0" borderId="0" xfId="0" applyFont="1" applyFill="1" applyBorder="1"/>
    <xf numFmtId="0" fontId="4" fillId="0" borderId="1" xfId="0" applyFont="1" applyFill="1" applyBorder="1" applyAlignment="1">
      <alignment horizontal="left"/>
    </xf>
    <xf numFmtId="165" fontId="7" fillId="2" borderId="2" xfId="2" applyNumberFormat="1" applyFont="1" applyFill="1" applyBorder="1" applyAlignment="1" applyProtection="1">
      <alignment horizontal="right"/>
      <protection locked="0"/>
    </xf>
    <xf numFmtId="0" fontId="4" fillId="0" borderId="34" xfId="0" applyFont="1" applyFill="1" applyBorder="1"/>
    <xf numFmtId="0" fontId="7" fillId="0" borderId="28" xfId="0" applyFont="1" applyFill="1" applyBorder="1"/>
    <xf numFmtId="0" fontId="7" fillId="0" borderId="0" xfId="0" applyFont="1" applyFill="1" applyBorder="1"/>
    <xf numFmtId="14" fontId="7" fillId="2" borderId="2" xfId="0" applyNumberFormat="1" applyFont="1" applyFill="1" applyBorder="1" applyAlignment="1" applyProtection="1">
      <alignment horizontal="center"/>
      <protection locked="0"/>
    </xf>
    <xf numFmtId="0" fontId="4" fillId="0" borderId="7" xfId="0" applyFont="1" applyFill="1" applyBorder="1"/>
    <xf numFmtId="0" fontId="7" fillId="2" borderId="3" xfId="0" applyFont="1" applyFill="1" applyBorder="1" applyAlignment="1" applyProtection="1">
      <alignment horizontal="center"/>
      <protection locked="0"/>
    </xf>
    <xf numFmtId="0" fontId="7" fillId="2" borderId="5" xfId="0" applyFont="1" applyFill="1" applyBorder="1" applyAlignment="1" applyProtection="1">
      <alignment horizontal="center"/>
      <protection locked="0"/>
    </xf>
    <xf numFmtId="164" fontId="7" fillId="2" borderId="6" xfId="1" applyNumberFormat="1" applyFont="1" applyFill="1" applyBorder="1" applyAlignment="1" applyProtection="1">
      <alignment horizontal="center"/>
      <protection locked="0"/>
    </xf>
    <xf numFmtId="0" fontId="4" fillId="0" borderId="0" xfId="0" applyFont="1" applyFill="1" applyBorder="1" applyAlignment="1"/>
    <xf numFmtId="0" fontId="4" fillId="3" borderId="1" xfId="0" applyFont="1" applyFill="1" applyBorder="1"/>
    <xf numFmtId="0" fontId="12" fillId="0" borderId="0" xfId="0" applyFont="1" applyFill="1" applyBorder="1" applyAlignment="1">
      <alignment vertical="center" wrapText="1"/>
    </xf>
    <xf numFmtId="0" fontId="4" fillId="2" borderId="2" xfId="0" applyFont="1" applyFill="1" applyBorder="1" applyAlignment="1" applyProtection="1">
      <alignment horizontal="left"/>
      <protection locked="0"/>
    </xf>
    <xf numFmtId="0" fontId="4" fillId="3" borderId="10" xfId="0" applyFont="1" applyFill="1" applyBorder="1" applyAlignment="1">
      <alignment horizontal="left" indent="2"/>
    </xf>
    <xf numFmtId="9" fontId="4" fillId="2" borderId="18" xfId="2" applyFont="1" applyFill="1" applyBorder="1" applyAlignment="1" applyProtection="1">
      <alignment horizontal="right"/>
      <protection locked="0"/>
    </xf>
    <xf numFmtId="0" fontId="2" fillId="0" borderId="31" xfId="0" applyFont="1" applyFill="1" applyBorder="1"/>
    <xf numFmtId="0" fontId="4" fillId="3" borderId="10" xfId="0" applyFont="1" applyFill="1" applyBorder="1" applyAlignment="1">
      <alignment horizontal="left" indent="4"/>
    </xf>
    <xf numFmtId="164" fontId="4" fillId="0" borderId="18" xfId="1" applyNumberFormat="1" applyFont="1" applyFill="1" applyBorder="1" applyAlignment="1" applyProtection="1">
      <alignment horizontal="right"/>
    </xf>
    <xf numFmtId="9" fontId="4" fillId="0" borderId="18" xfId="2" applyFont="1" applyFill="1" applyBorder="1" applyAlignment="1" applyProtection="1">
      <alignment horizontal="right"/>
    </xf>
    <xf numFmtId="0" fontId="4" fillId="3" borderId="8" xfId="0" applyFont="1" applyFill="1" applyBorder="1" applyAlignment="1">
      <alignment horizontal="left" indent="4"/>
    </xf>
    <xf numFmtId="164" fontId="4" fillId="0" borderId="6" xfId="1" applyNumberFormat="1" applyFont="1" applyFill="1" applyBorder="1"/>
    <xf numFmtId="0" fontId="4" fillId="0" borderId="7" xfId="0" applyFont="1" applyFill="1" applyBorder="1" applyAlignment="1">
      <alignment horizontal="left" indent="2"/>
    </xf>
    <xf numFmtId="164" fontId="7" fillId="2" borderId="15" xfId="1" applyNumberFormat="1" applyFont="1" applyFill="1" applyBorder="1" applyAlignment="1" applyProtection="1">
      <alignment horizontal="right"/>
      <protection locked="0"/>
    </xf>
    <xf numFmtId="9" fontId="7" fillId="3" borderId="18" xfId="2" applyFont="1" applyFill="1" applyBorder="1" applyAlignment="1" applyProtection="1">
      <alignment horizontal="right"/>
    </xf>
    <xf numFmtId="0" fontId="6" fillId="0" borderId="0" xfId="0" applyFont="1" applyFill="1" applyBorder="1" applyAlignment="1">
      <alignment horizontal="left" vertical="center" indent="1"/>
    </xf>
    <xf numFmtId="0" fontId="4" fillId="0" borderId="10" xfId="0" applyFont="1" applyFill="1" applyBorder="1" applyAlignment="1">
      <alignment horizontal="left" indent="2"/>
    </xf>
    <xf numFmtId="164" fontId="7" fillId="2" borderId="18" xfId="1" applyNumberFormat="1" applyFont="1" applyFill="1" applyBorder="1" applyAlignment="1" applyProtection="1">
      <alignment horizontal="right"/>
      <protection locked="0"/>
    </xf>
    <xf numFmtId="0" fontId="12" fillId="0" borderId="0" xfId="0" applyFont="1" applyFill="1" applyBorder="1" applyAlignment="1">
      <alignment horizontal="left" vertical="center" wrapText="1" indent="1"/>
    </xf>
    <xf numFmtId="9" fontId="4" fillId="3" borderId="6" xfId="2" applyFont="1" applyFill="1" applyBorder="1"/>
    <xf numFmtId="0" fontId="0" fillId="0" borderId="30" xfId="0" applyBorder="1"/>
    <xf numFmtId="0" fontId="0" fillId="0" borderId="0" xfId="0" applyAlignment="1">
      <alignment wrapText="1"/>
    </xf>
    <xf numFmtId="0" fontId="0" fillId="0" borderId="12" xfId="0" applyBorder="1"/>
    <xf numFmtId="0" fontId="0" fillId="0" borderId="0" xfId="0" applyAlignment="1"/>
    <xf numFmtId="0" fontId="4" fillId="0" borderId="11" xfId="0" applyFont="1" applyBorder="1" applyAlignment="1">
      <alignment vertical="center" wrapText="1"/>
    </xf>
    <xf numFmtId="0" fontId="4" fillId="0" borderId="12" xfId="0" applyFont="1" applyBorder="1" applyAlignment="1">
      <alignment vertical="center"/>
    </xf>
    <xf numFmtId="0" fontId="4" fillId="0" borderId="12" xfId="0" applyFont="1" applyFill="1" applyBorder="1" applyAlignment="1">
      <alignment horizontal="center" vertical="center" wrapText="1"/>
    </xf>
    <xf numFmtId="0" fontId="4" fillId="0" borderId="13" xfId="0" applyFont="1" applyBorder="1" applyAlignment="1">
      <alignment horizontal="center" vertical="center" wrapText="1"/>
    </xf>
    <xf numFmtId="0" fontId="0" fillId="0" borderId="0" xfId="0" applyFill="1" applyAlignment="1">
      <alignment wrapText="1"/>
    </xf>
    <xf numFmtId="0" fontId="4" fillId="0" borderId="11" xfId="0" applyFont="1" applyBorder="1" applyAlignment="1">
      <alignment horizontal="center" vertical="center"/>
    </xf>
    <xf numFmtId="0" fontId="12" fillId="0" borderId="0" xfId="0" applyFont="1" applyBorder="1" applyAlignment="1">
      <alignment wrapText="1"/>
    </xf>
    <xf numFmtId="0" fontId="4" fillId="0" borderId="0" xfId="0" applyFont="1" applyBorder="1"/>
    <xf numFmtId="0" fontId="4" fillId="0" borderId="0" xfId="0" applyFont="1" applyFill="1" applyBorder="1" applyAlignment="1">
      <alignment horizontal="center" vertical="center" wrapText="1"/>
    </xf>
    <xf numFmtId="9" fontId="4" fillId="0" borderId="0" xfId="0" applyNumberFormat="1" applyFont="1" applyBorder="1" applyAlignment="1">
      <alignment horizontal="center" vertical="center"/>
    </xf>
    <xf numFmtId="0" fontId="14" fillId="0" borderId="0" xfId="0" applyFont="1"/>
    <xf numFmtId="0" fontId="10" fillId="0" borderId="0" xfId="0" applyFont="1" applyAlignment="1">
      <alignment horizontal="left" indent="1"/>
    </xf>
    <xf numFmtId="0" fontId="4" fillId="0" borderId="7" xfId="0" applyFont="1" applyBorder="1" applyAlignment="1"/>
    <xf numFmtId="0" fontId="4" fillId="0" borderId="14" xfId="0" applyFont="1" applyBorder="1"/>
    <xf numFmtId="164" fontId="0" fillId="2" borderId="17" xfId="1" applyNumberFormat="1" applyFont="1" applyFill="1" applyBorder="1" applyProtection="1">
      <protection locked="0"/>
    </xf>
    <xf numFmtId="164" fontId="0" fillId="3" borderId="17" xfId="1" applyNumberFormat="1" applyFont="1" applyFill="1" applyBorder="1"/>
    <xf numFmtId="9" fontId="0" fillId="0" borderId="3" xfId="2" applyNumberFormat="1" applyFont="1" applyFill="1" applyBorder="1"/>
    <xf numFmtId="164" fontId="0" fillId="0" borderId="0" xfId="1" applyNumberFormat="1" applyFont="1" applyFill="1"/>
    <xf numFmtId="9" fontId="14" fillId="0" borderId="0" xfId="2" applyFont="1"/>
    <xf numFmtId="0" fontId="4" fillId="0" borderId="10" xfId="0" applyFont="1" applyBorder="1" applyAlignment="1"/>
    <xf numFmtId="164" fontId="0" fillId="2" borderId="16" xfId="1" applyNumberFormat="1" applyFont="1" applyFill="1" applyBorder="1" applyProtection="1">
      <protection locked="0"/>
    </xf>
    <xf numFmtId="164" fontId="0" fillId="3" borderId="16" xfId="1" applyNumberFormat="1" applyFont="1" applyFill="1" applyBorder="1"/>
    <xf numFmtId="9" fontId="0" fillId="0" borderId="5" xfId="2" applyFont="1" applyFill="1" applyBorder="1"/>
    <xf numFmtId="0" fontId="4" fillId="0" borderId="8" xfId="0" applyFont="1" applyBorder="1" applyAlignment="1"/>
    <xf numFmtId="0" fontId="4" fillId="0" borderId="19" xfId="0" applyFont="1" applyBorder="1"/>
    <xf numFmtId="164" fontId="0" fillId="2" borderId="19" xfId="1" applyNumberFormat="1" applyFont="1" applyFill="1" applyBorder="1" applyProtection="1">
      <protection locked="0"/>
    </xf>
    <xf numFmtId="164" fontId="0" fillId="3" borderId="19" xfId="1" applyNumberFormat="1" applyFont="1" applyFill="1" applyBorder="1"/>
    <xf numFmtId="0" fontId="5" fillId="5" borderId="0" xfId="0" applyFont="1" applyFill="1"/>
    <xf numFmtId="0" fontId="4" fillId="2" borderId="0" xfId="0" applyFont="1" applyFill="1" applyBorder="1" applyAlignment="1" applyProtection="1">
      <alignment horizontal="center"/>
      <protection locked="0"/>
    </xf>
    <xf numFmtId="0" fontId="4" fillId="2" borderId="0" xfId="0" applyFont="1" applyFill="1" applyBorder="1" applyProtection="1">
      <protection locked="0"/>
    </xf>
    <xf numFmtId="0" fontId="0" fillId="0" borderId="10" xfId="0" applyBorder="1"/>
    <xf numFmtId="9" fontId="0" fillId="0" borderId="0" xfId="0" applyNumberFormat="1"/>
    <xf numFmtId="0" fontId="0" fillId="0" borderId="8" xfId="0" applyBorder="1"/>
    <xf numFmtId="0" fontId="0" fillId="0" borderId="19" xfId="0" applyBorder="1"/>
    <xf numFmtId="1" fontId="0" fillId="0" borderId="0" xfId="0" applyNumberFormat="1"/>
    <xf numFmtId="167" fontId="0" fillId="0" borderId="0" xfId="0" applyNumberFormat="1"/>
    <xf numFmtId="0" fontId="4" fillId="0" borderId="0" xfId="0" applyFont="1" applyBorder="1" applyAlignment="1">
      <alignment vertical="center"/>
    </xf>
    <xf numFmtId="164" fontId="4" fillId="0" borderId="0" xfId="1" applyNumberFormat="1" applyFont="1" applyBorder="1"/>
    <xf numFmtId="164" fontId="4" fillId="0" borderId="19" xfId="1" applyNumberFormat="1" applyFont="1" applyBorder="1"/>
    <xf numFmtId="0" fontId="2" fillId="5" borderId="37" xfId="0" applyFont="1" applyFill="1" applyBorder="1"/>
    <xf numFmtId="0" fontId="2" fillId="5" borderId="0" xfId="0" applyFont="1" applyFill="1"/>
    <xf numFmtId="0" fontId="2" fillId="6" borderId="0" xfId="0" applyFont="1" applyFill="1" applyAlignment="1">
      <alignment horizontal="left"/>
    </xf>
    <xf numFmtId="0" fontId="2" fillId="6" borderId="0" xfId="0" applyFont="1" applyFill="1"/>
    <xf numFmtId="0" fontId="2" fillId="6" borderId="0" xfId="0" applyFont="1" applyFill="1" applyAlignment="1">
      <alignment horizontal="center"/>
    </xf>
    <xf numFmtId="0" fontId="5" fillId="6" borderId="0" xfId="0" applyFont="1" applyFill="1"/>
    <xf numFmtId="164" fontId="4" fillId="0" borderId="0" xfId="1" applyNumberFormat="1" applyFont="1" applyBorder="1" applyAlignment="1">
      <alignment horizontal="center"/>
    </xf>
    <xf numFmtId="0" fontId="17" fillId="0" borderId="0" xfId="3" applyFont="1"/>
    <xf numFmtId="0" fontId="5" fillId="0" borderId="0" xfId="0" applyFont="1"/>
    <xf numFmtId="164" fontId="4" fillId="0" borderId="11" xfId="1" applyNumberFormat="1" applyFont="1" applyBorder="1"/>
    <xf numFmtId="0" fontId="0" fillId="0" borderId="28" xfId="0" applyBorder="1"/>
    <xf numFmtId="164" fontId="4" fillId="0" borderId="30" xfId="1" applyNumberFormat="1" applyFont="1" applyBorder="1"/>
    <xf numFmtId="164" fontId="0" fillId="0" borderId="28" xfId="1" applyNumberFormat="1" applyFont="1" applyBorder="1"/>
    <xf numFmtId="164" fontId="4" fillId="0" borderId="43" xfId="1" applyNumberFormat="1" applyFont="1" applyBorder="1"/>
    <xf numFmtId="164" fontId="4" fillId="0" borderId="34" xfId="1" applyNumberFormat="1" applyFont="1" applyBorder="1"/>
    <xf numFmtId="164" fontId="0" fillId="0" borderId="35" xfId="1" applyNumberFormat="1" applyFont="1" applyBorder="1"/>
    <xf numFmtId="164" fontId="6" fillId="0" borderId="0" xfId="1" applyNumberFormat="1" applyFont="1" applyBorder="1"/>
    <xf numFmtId="0" fontId="6" fillId="0" borderId="0" xfId="0" applyFont="1"/>
    <xf numFmtId="164" fontId="0" fillId="0" borderId="12" xfId="1" applyNumberFormat="1" applyFont="1" applyBorder="1"/>
    <xf numFmtId="0" fontId="4" fillId="0" borderId="11" xfId="0" applyFont="1" applyBorder="1"/>
    <xf numFmtId="0" fontId="4" fillId="0" borderId="30" xfId="0" applyFont="1" applyBorder="1"/>
    <xf numFmtId="0" fontId="4" fillId="0" borderId="43" xfId="0" applyFont="1" applyBorder="1"/>
    <xf numFmtId="0" fontId="4" fillId="0" borderId="34" xfId="0" applyFont="1" applyBorder="1"/>
    <xf numFmtId="0" fontId="4" fillId="0" borderId="27" xfId="0" applyFont="1" applyBorder="1"/>
    <xf numFmtId="164" fontId="0" fillId="0" borderId="28" xfId="0" applyNumberFormat="1" applyBorder="1"/>
    <xf numFmtId="164" fontId="5" fillId="0" borderId="0" xfId="0" applyNumberFormat="1" applyFont="1"/>
    <xf numFmtId="164" fontId="0" fillId="0" borderId="0" xfId="0" applyNumberFormat="1" applyBorder="1"/>
    <xf numFmtId="164" fontId="0" fillId="0" borderId="35" xfId="0" applyNumberFormat="1" applyBorder="1"/>
    <xf numFmtId="0" fontId="4" fillId="0" borderId="0" xfId="0" applyFont="1" applyAlignment="1">
      <alignment wrapText="1"/>
    </xf>
    <xf numFmtId="43" fontId="0" fillId="0" borderId="0" xfId="0" applyNumberFormat="1"/>
    <xf numFmtId="0" fontId="4" fillId="0" borderId="44" xfId="0" applyFont="1" applyBorder="1"/>
    <xf numFmtId="164" fontId="4" fillId="0" borderId="45" xfId="1" applyNumberFormat="1" applyFont="1" applyFill="1" applyBorder="1"/>
    <xf numFmtId="0" fontId="4" fillId="0" borderId="46" xfId="0" applyFont="1" applyBorder="1"/>
    <xf numFmtId="43" fontId="4" fillId="0" borderId="19" xfId="1" applyFont="1" applyBorder="1"/>
    <xf numFmtId="164" fontId="4" fillId="0" borderId="0" xfId="1" applyNumberFormat="1" applyFont="1" applyFill="1" applyBorder="1"/>
    <xf numFmtId="0" fontId="4" fillId="0" borderId="47" xfId="0" applyFont="1" applyBorder="1"/>
    <xf numFmtId="43" fontId="4" fillId="0" borderId="35" xfId="1" applyFont="1" applyBorder="1"/>
    <xf numFmtId="0" fontId="12" fillId="0" borderId="0" xfId="0" applyFont="1" applyFill="1"/>
    <xf numFmtId="164" fontId="14" fillId="0" borderId="0" xfId="1" applyNumberFormat="1" applyFont="1"/>
    <xf numFmtId="0" fontId="10" fillId="0" borderId="0" xfId="0" applyFont="1"/>
    <xf numFmtId="0" fontId="4" fillId="0" borderId="48" xfId="0" applyFont="1" applyBorder="1" applyAlignment="1">
      <alignment horizontal="center" vertical="center"/>
    </xf>
    <xf numFmtId="0" fontId="4" fillId="0" borderId="48" xfId="0" applyFont="1" applyBorder="1" applyAlignment="1">
      <alignment horizontal="center" vertical="center" wrapText="1"/>
    </xf>
    <xf numFmtId="0" fontId="4" fillId="0" borderId="27" xfId="0" applyFont="1" applyBorder="1" applyAlignment="1">
      <alignment horizontal="center" vertical="center" wrapText="1"/>
    </xf>
    <xf numFmtId="0" fontId="4" fillId="0" borderId="28" xfId="0" applyFont="1" applyBorder="1" applyAlignment="1">
      <alignment horizontal="center" vertical="center"/>
    </xf>
    <xf numFmtId="0" fontId="10" fillId="0" borderId="0" xfId="0" applyFont="1" applyBorder="1"/>
    <xf numFmtId="0" fontId="4" fillId="0" borderId="28" xfId="0" applyFont="1" applyBorder="1" applyAlignment="1">
      <alignment horizontal="center" vertical="center" wrapText="1"/>
    </xf>
    <xf numFmtId="0" fontId="4" fillId="0" borderId="27" xfId="0" applyFont="1" applyFill="1" applyBorder="1" applyAlignment="1">
      <alignment vertical="center"/>
    </xf>
    <xf numFmtId="0" fontId="4" fillId="0" borderId="28" xfId="0" applyFont="1" applyFill="1" applyBorder="1" applyAlignment="1">
      <alignment horizontal="center" vertical="center"/>
    </xf>
    <xf numFmtId="164" fontId="4" fillId="0" borderId="28" xfId="0" applyNumberFormat="1" applyFont="1" applyFill="1" applyBorder="1" applyAlignment="1">
      <alignment horizontal="center" vertical="center" wrapText="1"/>
    </xf>
    <xf numFmtId="164" fontId="4" fillId="0" borderId="28" xfId="1" applyNumberFormat="1" applyFont="1" applyFill="1" applyBorder="1" applyAlignment="1">
      <alignment horizontal="center" vertical="center"/>
    </xf>
    <xf numFmtId="0" fontId="4" fillId="0" borderId="28" xfId="0" applyFont="1" applyFill="1" applyBorder="1" applyAlignment="1">
      <alignment horizontal="center" vertical="center" wrapText="1"/>
    </xf>
    <xf numFmtId="0" fontId="10" fillId="0" borderId="0" xfId="0" applyFont="1" applyFill="1" applyAlignment="1">
      <alignment horizontal="right" indent="1"/>
    </xf>
    <xf numFmtId="0" fontId="4" fillId="0" borderId="49" xfId="0" applyFont="1" applyFill="1" applyBorder="1"/>
    <xf numFmtId="0" fontId="0" fillId="0" borderId="28" xfId="0" applyFill="1" applyBorder="1"/>
    <xf numFmtId="0" fontId="0" fillId="0" borderId="28" xfId="0" applyFill="1" applyBorder="1" applyAlignment="1">
      <alignment horizontal="center"/>
    </xf>
    <xf numFmtId="164" fontId="0" fillId="0" borderId="50" xfId="1" applyNumberFormat="1" applyFont="1" applyFill="1" applyBorder="1"/>
    <xf numFmtId="164" fontId="0" fillId="0" borderId="28" xfId="1" applyNumberFormat="1" applyFont="1" applyFill="1" applyBorder="1"/>
    <xf numFmtId="164" fontId="0" fillId="0" borderId="0" xfId="0" applyNumberFormat="1" applyFill="1"/>
    <xf numFmtId="0" fontId="4" fillId="0" borderId="51" xfId="0" applyFont="1" applyFill="1" applyBorder="1"/>
    <xf numFmtId="0" fontId="0" fillId="0" borderId="0" xfId="0" applyFill="1" applyBorder="1"/>
    <xf numFmtId="164" fontId="0" fillId="0" borderId="18" xfId="1" applyNumberFormat="1" applyFont="1" applyFill="1" applyBorder="1"/>
    <xf numFmtId="164" fontId="0" fillId="0" borderId="0" xfId="1" applyNumberFormat="1" applyFont="1" applyFill="1" applyBorder="1"/>
    <xf numFmtId="0" fontId="10" fillId="0" borderId="0" xfId="0" applyFont="1" applyAlignment="1">
      <alignment horizontal="right" indent="1"/>
    </xf>
    <xf numFmtId="0" fontId="4" fillId="0" borderId="51" xfId="0" applyFont="1" applyBorder="1"/>
    <xf numFmtId="0" fontId="4" fillId="0" borderId="52" xfId="0" applyFont="1" applyBorder="1"/>
    <xf numFmtId="0" fontId="0" fillId="0" borderId="35" xfId="0" applyBorder="1"/>
    <xf numFmtId="164" fontId="0" fillId="0" borderId="53" xfId="1" applyNumberFormat="1" applyFont="1" applyBorder="1"/>
    <xf numFmtId="164" fontId="0" fillId="0" borderId="0" xfId="1" applyNumberFormat="1" applyFont="1"/>
    <xf numFmtId="0" fontId="4" fillId="0" borderId="48" xfId="0" applyFont="1" applyBorder="1" applyAlignment="1">
      <alignment vertical="center"/>
    </xf>
    <xf numFmtId="164" fontId="4" fillId="0" borderId="28" xfId="1" applyNumberFormat="1" applyFont="1" applyBorder="1"/>
    <xf numFmtId="164" fontId="4" fillId="0" borderId="12" xfId="1" applyNumberFormat="1" applyFont="1" applyBorder="1"/>
    <xf numFmtId="164" fontId="4" fillId="0" borderId="35" xfId="1" applyNumberFormat="1" applyFont="1" applyBorder="1"/>
    <xf numFmtId="9" fontId="4" fillId="0" borderId="28" xfId="2" applyFont="1" applyBorder="1"/>
    <xf numFmtId="9" fontId="4" fillId="0" borderId="0" xfId="2" applyFont="1" applyBorder="1"/>
    <xf numFmtId="9" fontId="4" fillId="0" borderId="12" xfId="2" applyFont="1" applyBorder="1"/>
    <xf numFmtId="164" fontId="4" fillId="0" borderId="28" xfId="0" applyNumberFormat="1" applyFont="1" applyBorder="1"/>
    <xf numFmtId="164" fontId="4" fillId="0" borderId="0" xfId="0" applyNumberFormat="1" applyFont="1" applyBorder="1"/>
    <xf numFmtId="164" fontId="4" fillId="0" borderId="35" xfId="0" applyNumberFormat="1" applyFont="1" applyBorder="1"/>
    <xf numFmtId="9" fontId="4" fillId="0" borderId="28" xfId="2" applyNumberFormat="1" applyFont="1" applyBorder="1" applyAlignment="1">
      <alignment horizontal="right" vertical="center" wrapText="1"/>
    </xf>
    <xf numFmtId="9" fontId="4" fillId="0" borderId="28" xfId="2" applyFont="1" applyBorder="1" applyAlignment="1">
      <alignment horizontal="right" vertical="center" wrapText="1"/>
    </xf>
    <xf numFmtId="9" fontId="4" fillId="0" borderId="0" xfId="2" applyFont="1" applyBorder="1" applyAlignment="1">
      <alignment horizontal="right" vertical="center" wrapText="1"/>
    </xf>
    <xf numFmtId="0" fontId="0" fillId="0" borderId="27" xfId="0" applyBorder="1"/>
    <xf numFmtId="43" fontId="0" fillId="0" borderId="28" xfId="1" applyFont="1" applyBorder="1"/>
    <xf numFmtId="43" fontId="0" fillId="0" borderId="0" xfId="1" applyFont="1" applyBorder="1"/>
    <xf numFmtId="0" fontId="0" fillId="0" borderId="34" xfId="0" applyBorder="1"/>
    <xf numFmtId="43" fontId="0" fillId="0" borderId="35" xfId="1" applyFont="1" applyBorder="1"/>
    <xf numFmtId="0" fontId="5" fillId="5" borderId="37" xfId="0" applyFont="1" applyFill="1" applyBorder="1"/>
    <xf numFmtId="166" fontId="0" fillId="0" borderId="0" xfId="1" applyNumberFormat="1" applyFont="1"/>
    <xf numFmtId="14" fontId="5" fillId="6" borderId="0" xfId="0" applyNumberFormat="1" applyFont="1" applyFill="1"/>
    <xf numFmtId="166" fontId="18" fillId="0" borderId="0" xfId="1" applyNumberFormat="1" applyFont="1" applyAlignment="1">
      <alignment horizontal="center" vertical="center"/>
    </xf>
    <xf numFmtId="0" fontId="18" fillId="0" borderId="0" xfId="3" applyFont="1" applyAlignment="1">
      <alignment horizontal="center" vertical="center"/>
    </xf>
    <xf numFmtId="0" fontId="19" fillId="0" borderId="0" xfId="3" applyFont="1" applyAlignment="1">
      <alignment horizontal="center" vertical="center"/>
    </xf>
    <xf numFmtId="0" fontId="7" fillId="0" borderId="54" xfId="4" applyFont="1" applyFill="1" applyBorder="1" applyAlignment="1">
      <alignment horizontal="center" vertical="center" wrapText="1"/>
    </xf>
    <xf numFmtId="0" fontId="7" fillId="0" borderId="54" xfId="4" applyFont="1" applyFill="1" applyBorder="1" applyAlignment="1">
      <alignment horizontal="left" vertical="center" wrapText="1"/>
    </xf>
    <xf numFmtId="166" fontId="21" fillId="0" borderId="54" xfId="1" applyNumberFormat="1" applyFont="1" applyBorder="1" applyAlignment="1">
      <alignment horizontal="center" vertical="center" wrapText="1"/>
    </xf>
    <xf numFmtId="0" fontId="21" fillId="0" borderId="54" xfId="0" applyFont="1" applyBorder="1" applyAlignment="1">
      <alignment horizontal="center" vertical="center" wrapText="1"/>
    </xf>
    <xf numFmtId="0" fontId="4" fillId="0" borderId="54" xfId="0" applyFont="1" applyBorder="1" applyAlignment="1">
      <alignment horizontal="center" vertical="center" wrapText="1"/>
    </xf>
    <xf numFmtId="0" fontId="0" fillId="0" borderId="0" xfId="0" applyAlignment="1">
      <alignment horizontal="center" vertical="center" wrapText="1"/>
    </xf>
    <xf numFmtId="167" fontId="0" fillId="7" borderId="18" xfId="0" applyNumberFormat="1" applyFill="1" applyBorder="1"/>
    <xf numFmtId="1" fontId="0" fillId="7" borderId="18" xfId="0" applyNumberFormat="1" applyFill="1" applyBorder="1"/>
    <xf numFmtId="167" fontId="0" fillId="7" borderId="25" xfId="0" applyNumberFormat="1" applyFill="1" applyBorder="1"/>
    <xf numFmtId="167" fontId="0" fillId="7" borderId="24" xfId="0" applyNumberFormat="1" applyFill="1" applyBorder="1"/>
    <xf numFmtId="166" fontId="0" fillId="7" borderId="15" xfId="1" quotePrefix="1" applyNumberFormat="1" applyFont="1" applyFill="1" applyBorder="1"/>
    <xf numFmtId="164" fontId="0" fillId="7" borderId="15" xfId="1" applyNumberFormat="1" applyFont="1" applyFill="1" applyBorder="1"/>
    <xf numFmtId="167" fontId="0" fillId="7" borderId="15" xfId="0" applyNumberFormat="1" applyFill="1" applyBorder="1"/>
    <xf numFmtId="166" fontId="0" fillId="7" borderId="15" xfId="1" applyNumberFormat="1" applyFont="1" applyFill="1" applyBorder="1"/>
    <xf numFmtId="167" fontId="0" fillId="0" borderId="18" xfId="0" applyNumberFormat="1" applyBorder="1"/>
    <xf numFmtId="1" fontId="0" fillId="0" borderId="18" xfId="0" applyNumberFormat="1" applyBorder="1"/>
    <xf numFmtId="167" fontId="0" fillId="0" borderId="25" xfId="0" applyNumberFormat="1" applyBorder="1"/>
    <xf numFmtId="166" fontId="0" fillId="0" borderId="18" xfId="1" applyNumberFormat="1" applyFont="1" applyBorder="1"/>
    <xf numFmtId="167" fontId="0" fillId="7" borderId="6" xfId="0" applyNumberFormat="1" applyFill="1" applyBorder="1"/>
    <xf numFmtId="1" fontId="0" fillId="7" borderId="6" xfId="0" applyNumberFormat="1" applyFill="1" applyBorder="1"/>
    <xf numFmtId="167" fontId="0" fillId="7" borderId="26" xfId="0" applyNumberFormat="1" applyFill="1" applyBorder="1"/>
    <xf numFmtId="166" fontId="0" fillId="7" borderId="6" xfId="1" applyNumberFormat="1" applyFont="1" applyFill="1" applyBorder="1"/>
    <xf numFmtId="166" fontId="0" fillId="7" borderId="18" xfId="1" applyNumberFormat="1" applyFont="1" applyFill="1" applyBorder="1"/>
    <xf numFmtId="167" fontId="0" fillId="0" borderId="6" xfId="0" applyNumberFormat="1" applyBorder="1"/>
    <xf numFmtId="1" fontId="0" fillId="0" borderId="6" xfId="0" applyNumberFormat="1" applyBorder="1"/>
    <xf numFmtId="167" fontId="0" fillId="0" borderId="26" xfId="0" applyNumberFormat="1" applyBorder="1"/>
    <xf numFmtId="166" fontId="0" fillId="0" borderId="6" xfId="1" applyNumberFormat="1" applyFont="1" applyBorder="1"/>
    <xf numFmtId="1" fontId="0" fillId="7" borderId="15" xfId="0" applyNumberFormat="1" applyFill="1" applyBorder="1"/>
    <xf numFmtId="0" fontId="22" fillId="8" borderId="0" xfId="0" applyFont="1" applyFill="1"/>
    <xf numFmtId="0" fontId="22" fillId="9" borderId="24" xfId="0" applyFont="1" applyFill="1" applyBorder="1" applyAlignment="1">
      <alignment horizontal="center" vertical="center"/>
    </xf>
    <xf numFmtId="0" fontId="22" fillId="9" borderId="1" xfId="0" applyFont="1" applyFill="1" applyBorder="1" applyAlignment="1">
      <alignment horizontal="left"/>
    </xf>
    <xf numFmtId="0" fontId="22" fillId="9" borderId="42" xfId="0" applyFont="1" applyFill="1" applyBorder="1" applyAlignment="1">
      <alignment horizontal="left"/>
    </xf>
    <xf numFmtId="0" fontId="22" fillId="9" borderId="2" xfId="0" applyFont="1" applyFill="1" applyBorder="1" applyAlignment="1">
      <alignment horizontal="left"/>
    </xf>
    <xf numFmtId="0" fontId="22" fillId="9" borderId="26" xfId="0" applyFont="1" applyFill="1" applyBorder="1" applyAlignment="1">
      <alignment horizontal="center" vertical="center"/>
    </xf>
    <xf numFmtId="0" fontId="22" fillId="9" borderId="26" xfId="0" quotePrefix="1" applyFont="1" applyFill="1" applyBorder="1" applyAlignment="1">
      <alignment horizontal="center" vertical="center"/>
    </xf>
    <xf numFmtId="0" fontId="22" fillId="9" borderId="26" xfId="0" quotePrefix="1" applyFont="1" applyFill="1" applyBorder="1" applyAlignment="1">
      <alignment horizontal="center" vertical="center" wrapText="1"/>
    </xf>
    <xf numFmtId="0" fontId="22" fillId="9" borderId="54" xfId="0" quotePrefix="1" applyNumberFormat="1" applyFont="1" applyFill="1" applyBorder="1" applyAlignment="1">
      <alignment horizontal="center" vertical="center"/>
    </xf>
    <xf numFmtId="0" fontId="26" fillId="0" borderId="0" xfId="0" applyFont="1" applyAlignment="1">
      <alignment horizontal="right"/>
    </xf>
    <xf numFmtId="0" fontId="26" fillId="0" borderId="0" xfId="0" applyFont="1" applyAlignment="1">
      <alignment horizontal="left"/>
    </xf>
    <xf numFmtId="0" fontId="22" fillId="0" borderId="0" xfId="0" applyFont="1" applyAlignment="1"/>
    <xf numFmtId="0" fontId="26" fillId="0" borderId="0" xfId="0" applyFont="1" applyAlignment="1">
      <alignment horizontal="center"/>
    </xf>
    <xf numFmtId="168" fontId="26" fillId="0" borderId="0" xfId="0" applyNumberFormat="1" applyFont="1" applyAlignment="1">
      <alignment horizontal="right"/>
    </xf>
    <xf numFmtId="0" fontId="26" fillId="0" borderId="0" xfId="0" applyFont="1" applyAlignment="1">
      <alignment horizontal="left" indent="1"/>
    </xf>
    <xf numFmtId="0" fontId="26" fillId="0" borderId="0" xfId="0" applyFont="1" applyAlignment="1">
      <alignment horizontal="left" indent="2"/>
    </xf>
    <xf numFmtId="0" fontId="22" fillId="0" borderId="0" xfId="0" applyFont="1" applyAlignment="1">
      <alignment horizontal="left" indent="1"/>
    </xf>
    <xf numFmtId="0" fontId="4" fillId="0" borderId="30" xfId="0" applyFont="1" applyFill="1" applyBorder="1" applyAlignment="1">
      <alignment horizontal="left" indent="1"/>
    </xf>
    <xf numFmtId="165" fontId="1" fillId="0" borderId="0" xfId="2" applyNumberFormat="1" applyFont="1" applyFill="1" applyBorder="1"/>
    <xf numFmtId="166" fontId="1" fillId="0" borderId="0" xfId="1" applyNumberFormat="1" applyFont="1" applyFill="1" applyBorder="1"/>
    <xf numFmtId="43" fontId="0" fillId="0" borderId="0" xfId="1" applyFont="1" applyFill="1" applyBorder="1"/>
    <xf numFmtId="43" fontId="1" fillId="0" borderId="0" xfId="1" applyFont="1" applyFill="1" applyBorder="1"/>
    <xf numFmtId="43" fontId="0" fillId="0" borderId="35" xfId="1" applyFont="1" applyFill="1" applyBorder="1"/>
    <xf numFmtId="43" fontId="1" fillId="0" borderId="35" xfId="1" applyFont="1" applyFill="1" applyBorder="1"/>
    <xf numFmtId="0" fontId="4" fillId="0" borderId="11" xfId="0" applyFont="1" applyFill="1" applyBorder="1"/>
    <xf numFmtId="164" fontId="0" fillId="0" borderId="35" xfId="1" applyNumberFormat="1" applyFont="1" applyFill="1" applyBorder="1"/>
    <xf numFmtId="43" fontId="4" fillId="0" borderId="0" xfId="0" applyNumberFormat="1" applyFont="1" applyFill="1" applyBorder="1"/>
    <xf numFmtId="0" fontId="7" fillId="0" borderId="27" xfId="0" applyFont="1" applyFill="1" applyBorder="1"/>
    <xf numFmtId="0" fontId="9" fillId="0" borderId="29" xfId="0" applyFont="1" applyFill="1" applyBorder="1"/>
    <xf numFmtId="43" fontId="0" fillId="0" borderId="31" xfId="1" applyFont="1" applyFill="1" applyBorder="1"/>
    <xf numFmtId="0" fontId="4" fillId="0" borderId="0" xfId="0" applyFont="1" applyFill="1" applyAlignment="1">
      <alignment horizontal="center"/>
    </xf>
    <xf numFmtId="0" fontId="0" fillId="0" borderId="31" xfId="0" applyFill="1" applyBorder="1"/>
    <xf numFmtId="165" fontId="4" fillId="0" borderId="0" xfId="0" applyNumberFormat="1" applyFont="1" applyFill="1" applyAlignment="1">
      <alignment horizontal="center"/>
    </xf>
    <xf numFmtId="165" fontId="0" fillId="0" borderId="31" xfId="2" applyNumberFormat="1" applyFont="1" applyFill="1" applyBorder="1"/>
    <xf numFmtId="43" fontId="4" fillId="0" borderId="0" xfId="0" applyNumberFormat="1" applyFont="1" applyFill="1"/>
    <xf numFmtId="9" fontId="4" fillId="0" borderId="0" xfId="2" applyFont="1" applyFill="1"/>
    <xf numFmtId="165" fontId="4" fillId="0" borderId="0" xfId="2" applyNumberFormat="1" applyFont="1" applyFill="1"/>
    <xf numFmtId="165" fontId="0" fillId="0" borderId="36" xfId="2" applyNumberFormat="1" applyFont="1" applyFill="1" applyBorder="1"/>
    <xf numFmtId="0" fontId="4" fillId="0" borderId="12" xfId="0" applyFont="1" applyFill="1" applyBorder="1" applyAlignment="1">
      <alignment horizontal="center" vertical="center"/>
    </xf>
    <xf numFmtId="0" fontId="4" fillId="0" borderId="0" xfId="0" applyFont="1" applyFill="1" applyAlignment="1">
      <alignment horizontal="center" vertical="center"/>
    </xf>
    <xf numFmtId="0" fontId="0" fillId="0" borderId="7" xfId="0" applyBorder="1"/>
    <xf numFmtId="0" fontId="4" fillId="0" borderId="0" xfId="0" applyFont="1" applyBorder="1" applyAlignment="1">
      <alignment vertical="center" wrapText="1"/>
    </xf>
    <xf numFmtId="164" fontId="4" fillId="0" borderId="28" xfId="1" applyNumberFormat="1" applyFont="1" applyBorder="1" applyAlignment="1">
      <alignment horizontal="center" vertical="center"/>
    </xf>
    <xf numFmtId="0" fontId="4" fillId="0" borderId="27" xfId="0" applyFont="1" applyBorder="1" applyAlignment="1">
      <alignment vertical="center" wrapText="1"/>
    </xf>
    <xf numFmtId="164" fontId="4" fillId="0" borderId="28" xfId="0" applyNumberFormat="1" applyFont="1" applyBorder="1" applyAlignment="1">
      <alignment horizontal="center" vertical="center" wrapText="1"/>
    </xf>
    <xf numFmtId="164" fontId="4" fillId="0" borderId="29" xfId="1" applyNumberFormat="1" applyFont="1" applyBorder="1" applyAlignment="1">
      <alignment horizontal="center" vertical="center"/>
    </xf>
    <xf numFmtId="0" fontId="4" fillId="0" borderId="49" xfId="0" applyFont="1" applyBorder="1" applyAlignment="1">
      <alignment wrapText="1"/>
    </xf>
    <xf numFmtId="0" fontId="0" fillId="0" borderId="28" xfId="0" applyBorder="1" applyAlignment="1">
      <alignment horizontal="center" vertical="top"/>
    </xf>
    <xf numFmtId="164" fontId="0" fillId="0" borderId="28" xfId="1" quotePrefix="1" applyNumberFormat="1" applyFont="1" applyFill="1" applyBorder="1"/>
    <xf numFmtId="0" fontId="4" fillId="0" borderId="51" xfId="0" applyFont="1" applyBorder="1" applyAlignment="1">
      <alignment wrapText="1"/>
    </xf>
    <xf numFmtId="0" fontId="4" fillId="0" borderId="52" xfId="0" applyFont="1" applyBorder="1" applyAlignment="1">
      <alignment wrapText="1"/>
    </xf>
    <xf numFmtId="9" fontId="0" fillId="3" borderId="17" xfId="2" applyFont="1" applyFill="1" applyBorder="1"/>
    <xf numFmtId="9" fontId="0" fillId="0" borderId="7" xfId="2" applyFont="1" applyBorder="1" applyAlignment="1"/>
    <xf numFmtId="9" fontId="0" fillId="3" borderId="16" xfId="2" applyFont="1" applyFill="1" applyBorder="1"/>
    <xf numFmtId="0" fontId="4" fillId="10" borderId="0" xfId="0" applyFont="1" applyFill="1" applyAlignment="1">
      <alignment wrapText="1"/>
    </xf>
    <xf numFmtId="1" fontId="0" fillId="4" borderId="0" xfId="0" applyNumberFormat="1" applyFill="1"/>
    <xf numFmtId="0" fontId="0" fillId="4" borderId="0" xfId="0" applyFill="1"/>
    <xf numFmtId="9" fontId="0" fillId="4" borderId="0" xfId="0" applyNumberFormat="1" applyFill="1"/>
    <xf numFmtId="0" fontId="0" fillId="3" borderId="0" xfId="0" applyFill="1"/>
    <xf numFmtId="0" fontId="9" fillId="2" borderId="17" xfId="0" applyFont="1" applyFill="1" applyBorder="1" applyAlignment="1" applyProtection="1">
      <alignment horizontal="center"/>
      <protection locked="0"/>
    </xf>
    <xf numFmtId="0" fontId="4" fillId="0" borderId="0" xfId="0" applyFont="1" applyFill="1" applyAlignment="1">
      <alignment vertical="top"/>
    </xf>
    <xf numFmtId="0" fontId="0" fillId="0" borderId="0" xfId="0" applyAlignment="1">
      <alignment wrapText="1"/>
    </xf>
    <xf numFmtId="0" fontId="0" fillId="0" borderId="0" xfId="0"/>
    <xf numFmtId="0" fontId="4" fillId="0" borderId="0" xfId="0" applyFont="1"/>
    <xf numFmtId="0" fontId="0" fillId="4" borderId="0" xfId="0" applyFill="1" applyAlignment="1">
      <alignment horizontal="center"/>
    </xf>
    <xf numFmtId="9" fontId="0" fillId="3" borderId="17" xfId="2" applyNumberFormat="1" applyFont="1" applyFill="1" applyBorder="1"/>
    <xf numFmtId="0" fontId="28" fillId="5" borderId="0" xfId="0" applyFont="1" applyFill="1" applyAlignment="1"/>
    <xf numFmtId="164" fontId="0" fillId="0" borderId="0" xfId="0" applyNumberFormat="1"/>
    <xf numFmtId="0" fontId="31" fillId="0" borderId="0" xfId="0" applyFont="1" applyFill="1"/>
    <xf numFmtId="0" fontId="31" fillId="0" borderId="27" xfId="0" applyFont="1" applyFill="1" applyBorder="1"/>
    <xf numFmtId="0" fontId="31" fillId="3" borderId="28" xfId="0" applyFont="1" applyFill="1" applyBorder="1"/>
    <xf numFmtId="0" fontId="31" fillId="2" borderId="28" xfId="0" applyFont="1" applyFill="1" applyBorder="1" applyAlignment="1" applyProtection="1">
      <alignment horizontal="center"/>
      <protection locked="0"/>
    </xf>
    <xf numFmtId="0" fontId="31" fillId="0" borderId="29" xfId="0" applyFont="1" applyFill="1" applyBorder="1"/>
    <xf numFmtId="0" fontId="31" fillId="0" borderId="0" xfId="0" applyFont="1" applyFill="1" applyAlignment="1">
      <alignment vertical="top"/>
    </xf>
    <xf numFmtId="0" fontId="31" fillId="0" borderId="30" xfId="0" applyFont="1" applyFill="1" applyBorder="1"/>
    <xf numFmtId="0" fontId="31" fillId="0" borderId="1" xfId="0" applyFont="1" applyFill="1" applyBorder="1"/>
    <xf numFmtId="0" fontId="32" fillId="2" borderId="2" xfId="0" applyFont="1" applyFill="1" applyBorder="1" applyAlignment="1" applyProtection="1">
      <alignment horizontal="center"/>
      <protection locked="0"/>
    </xf>
    <xf numFmtId="0" fontId="31" fillId="0" borderId="31" xfId="0" applyFont="1" applyFill="1" applyBorder="1"/>
    <xf numFmtId="0" fontId="33" fillId="0" borderId="0" xfId="0" quotePrefix="1" applyFont="1" applyFill="1"/>
    <xf numFmtId="0" fontId="33" fillId="0" borderId="0" xfId="0" applyFont="1" applyFill="1"/>
    <xf numFmtId="0" fontId="31" fillId="0" borderId="0" xfId="0" applyFont="1" applyFill="1" applyBorder="1"/>
    <xf numFmtId="0" fontId="34" fillId="0" borderId="0" xfId="0" applyFont="1" applyFill="1" applyAlignment="1">
      <alignment vertical="top"/>
    </xf>
    <xf numFmtId="0" fontId="32" fillId="0" borderId="0" xfId="0" applyFont="1" applyFill="1" applyBorder="1" applyAlignment="1">
      <alignment horizontal="center"/>
    </xf>
    <xf numFmtId="0" fontId="31" fillId="0" borderId="32" xfId="0" applyFont="1" applyFill="1" applyBorder="1" applyAlignment="1">
      <alignment horizontal="right"/>
    </xf>
    <xf numFmtId="0" fontId="31" fillId="0" borderId="33" xfId="0" applyFont="1" applyBorder="1" applyAlignment="1">
      <alignment horizontal="right"/>
    </xf>
    <xf numFmtId="0" fontId="31" fillId="0" borderId="0" xfId="0" applyFont="1" applyFill="1" applyAlignment="1">
      <alignment vertical="top" wrapText="1"/>
    </xf>
    <xf numFmtId="0" fontId="31" fillId="0" borderId="1" xfId="0" applyFont="1" applyFill="1" applyBorder="1" applyAlignment="1">
      <alignment horizontal="left"/>
    </xf>
    <xf numFmtId="164" fontId="32" fillId="2" borderId="2" xfId="1" applyNumberFormat="1" applyFont="1" applyFill="1" applyBorder="1" applyAlignment="1" applyProtection="1">
      <alignment horizontal="center"/>
      <protection locked="0"/>
    </xf>
    <xf numFmtId="166" fontId="32" fillId="2" borderId="2" xfId="1" applyNumberFormat="1" applyFont="1" applyFill="1" applyBorder="1" applyAlignment="1" applyProtection="1">
      <alignment horizontal="right"/>
      <protection locked="0"/>
    </xf>
    <xf numFmtId="0" fontId="35" fillId="0" borderId="0" xfId="0" applyFont="1" applyFill="1" applyBorder="1" applyAlignment="1">
      <alignment vertical="center" wrapText="1"/>
    </xf>
    <xf numFmtId="0" fontId="31" fillId="0" borderId="34" xfId="0" applyFont="1" applyFill="1" applyBorder="1"/>
    <xf numFmtId="0" fontId="31" fillId="0" borderId="35" xfId="0" applyFont="1" applyFill="1" applyBorder="1"/>
    <xf numFmtId="0" fontId="32" fillId="0" borderId="35" xfId="0" applyFont="1" applyFill="1" applyBorder="1"/>
    <xf numFmtId="0" fontId="31" fillId="0" borderId="36" xfId="0" applyFont="1" applyFill="1" applyBorder="1"/>
    <xf numFmtId="0" fontId="31" fillId="0" borderId="28" xfId="0" applyFont="1" applyFill="1" applyBorder="1"/>
    <xf numFmtId="0" fontId="32" fillId="0" borderId="28" xfId="0" applyFont="1" applyFill="1" applyBorder="1"/>
    <xf numFmtId="0" fontId="36" fillId="0" borderId="38" xfId="0" applyFont="1" applyFill="1" applyBorder="1" applyAlignment="1"/>
    <xf numFmtId="0" fontId="37" fillId="0" borderId="38" xfId="0" applyFont="1" applyFill="1" applyBorder="1" applyAlignment="1">
      <alignment horizontal="center"/>
    </xf>
    <xf numFmtId="0" fontId="31" fillId="3" borderId="30" xfId="0" applyFont="1" applyFill="1" applyBorder="1"/>
    <xf numFmtId="0" fontId="32" fillId="2" borderId="9" xfId="0" applyFont="1" applyFill="1" applyBorder="1" applyAlignment="1" applyProtection="1">
      <protection locked="0"/>
    </xf>
    <xf numFmtId="0" fontId="32" fillId="2" borderId="24" xfId="0" applyFont="1" applyFill="1" applyBorder="1" applyAlignment="1" applyProtection="1">
      <protection locked="0"/>
    </xf>
    <xf numFmtId="0" fontId="32" fillId="2" borderId="20" xfId="0" applyFont="1" applyFill="1" applyBorder="1" applyAlignment="1" applyProtection="1">
      <protection locked="0"/>
    </xf>
    <xf numFmtId="0" fontId="32" fillId="2" borderId="39" xfId="0" applyFont="1" applyFill="1" applyBorder="1" applyAlignment="1" applyProtection="1">
      <protection locked="0"/>
    </xf>
    <xf numFmtId="0" fontId="32" fillId="2" borderId="40" xfId="0" applyFont="1" applyFill="1" applyBorder="1" applyAlignment="1" applyProtection="1">
      <protection locked="0"/>
    </xf>
    <xf numFmtId="0" fontId="38" fillId="0" borderId="0" xfId="0" applyFont="1" applyFill="1" applyProtection="1"/>
    <xf numFmtId="0" fontId="39" fillId="4" borderId="0" xfId="0" applyFont="1" applyFill="1" applyProtection="1"/>
    <xf numFmtId="0" fontId="40" fillId="4" borderId="0" xfId="0" applyFont="1" applyFill="1" applyProtection="1"/>
    <xf numFmtId="0" fontId="40" fillId="0" borderId="0" xfId="0" applyFont="1" applyFill="1" applyProtection="1"/>
    <xf numFmtId="0" fontId="38" fillId="0" borderId="0" xfId="0" applyFont="1" applyProtection="1"/>
    <xf numFmtId="0" fontId="38" fillId="0" borderId="0" xfId="0" applyFont="1" applyFill="1" applyAlignment="1" applyProtection="1">
      <alignment wrapText="1"/>
    </xf>
    <xf numFmtId="0" fontId="30" fillId="5" borderId="0" xfId="0" applyFont="1" applyFill="1" applyAlignment="1" applyProtection="1"/>
    <xf numFmtId="0" fontId="31" fillId="0" borderId="11" xfId="0" applyFont="1" applyFill="1" applyBorder="1" applyAlignment="1" applyProtection="1">
      <alignment vertical="center"/>
    </xf>
    <xf numFmtId="0" fontId="32" fillId="0" borderId="12" xfId="0" applyFont="1" applyFill="1" applyBorder="1" applyAlignment="1" applyProtection="1">
      <alignment horizontal="left" vertical="center"/>
    </xf>
    <xf numFmtId="0" fontId="32" fillId="0" borderId="12" xfId="0" applyFont="1" applyFill="1" applyBorder="1" applyAlignment="1" applyProtection="1">
      <alignment horizontal="center" vertical="center" wrapText="1"/>
    </xf>
    <xf numFmtId="0" fontId="32" fillId="0" borderId="55" xfId="0" applyFont="1" applyFill="1" applyBorder="1" applyAlignment="1" applyProtection="1">
      <alignment horizontal="center" vertical="center" wrapText="1"/>
    </xf>
    <xf numFmtId="0" fontId="32" fillId="0" borderId="0" xfId="0" applyFont="1" applyFill="1" applyBorder="1" applyAlignment="1" applyProtection="1">
      <alignment horizontal="center" vertical="center" wrapText="1"/>
    </xf>
    <xf numFmtId="0" fontId="41" fillId="0" borderId="0" xfId="0" applyFont="1" applyFill="1" applyProtection="1"/>
    <xf numFmtId="0" fontId="32" fillId="0" borderId="0" xfId="0" applyFont="1" applyFill="1" applyAlignment="1" applyProtection="1">
      <alignment horizontal="center" vertical="center"/>
    </xf>
    <xf numFmtId="0" fontId="32" fillId="0" borderId="0" xfId="0" applyFont="1" applyFill="1" applyAlignment="1" applyProtection="1">
      <alignment horizontal="center" vertical="center" wrapText="1"/>
    </xf>
    <xf numFmtId="0" fontId="38" fillId="2" borderId="21" xfId="0" applyFont="1" applyFill="1" applyBorder="1" applyAlignment="1" applyProtection="1">
      <alignment wrapText="1"/>
      <protection locked="0"/>
    </xf>
    <xf numFmtId="0" fontId="40" fillId="2" borderId="22" xfId="0" applyFont="1" applyFill="1" applyBorder="1" applyAlignment="1" applyProtection="1">
      <alignment vertical="center"/>
      <protection locked="0"/>
    </xf>
    <xf numFmtId="0" fontId="40" fillId="2" borderId="22" xfId="0" applyFont="1" applyFill="1" applyBorder="1" applyAlignment="1" applyProtection="1">
      <protection locked="0"/>
    </xf>
    <xf numFmtId="0" fontId="40" fillId="2" borderId="22" xfId="0" applyFont="1" applyFill="1" applyBorder="1" applyAlignment="1" applyProtection="1"/>
    <xf numFmtId="10" fontId="40" fillId="2" borderId="22" xfId="2" applyNumberFormat="1" applyFont="1" applyFill="1" applyBorder="1" applyAlignment="1" applyProtection="1">
      <protection locked="0"/>
    </xf>
    <xf numFmtId="0" fontId="40" fillId="2" borderId="23" xfId="0" applyFont="1" applyFill="1" applyBorder="1" applyAlignment="1" applyProtection="1">
      <protection locked="0"/>
    </xf>
    <xf numFmtId="0" fontId="40" fillId="2" borderId="23" xfId="0" applyFont="1" applyFill="1" applyBorder="1" applyAlignment="1" applyProtection="1">
      <alignment wrapText="1"/>
      <protection locked="0"/>
    </xf>
    <xf numFmtId="0" fontId="38" fillId="0" borderId="0" xfId="0" applyFont="1"/>
    <xf numFmtId="0" fontId="31" fillId="0" borderId="0" xfId="0" applyFont="1"/>
    <xf numFmtId="0" fontId="31" fillId="0" borderId="0" xfId="0" applyFont="1" applyAlignment="1">
      <alignment horizontal="left" vertical="top" wrapText="1"/>
    </xf>
    <xf numFmtId="0" fontId="31" fillId="0" borderId="1" xfId="0" applyFont="1" applyBorder="1"/>
    <xf numFmtId="0" fontId="31" fillId="2" borderId="2" xfId="0" applyFont="1" applyFill="1" applyBorder="1" applyAlignment="1" applyProtection="1">
      <alignment horizontal="center"/>
      <protection locked="0"/>
    </xf>
    <xf numFmtId="164" fontId="31" fillId="2" borderId="3" xfId="1" applyNumberFormat="1" applyFont="1" applyFill="1" applyBorder="1" applyProtection="1">
      <protection locked="0"/>
    </xf>
    <xf numFmtId="0" fontId="38" fillId="0" borderId="0" xfId="0" applyFont="1" applyAlignment="1">
      <alignment horizontal="right"/>
    </xf>
    <xf numFmtId="164" fontId="31" fillId="2" borderId="4" xfId="1" applyNumberFormat="1" applyFont="1" applyFill="1" applyBorder="1" applyProtection="1">
      <protection locked="0"/>
    </xf>
    <xf numFmtId="0" fontId="33" fillId="0" borderId="0" xfId="0" applyFont="1" applyAlignment="1">
      <alignment horizontal="left" indent="3"/>
    </xf>
    <xf numFmtId="164" fontId="31" fillId="2" borderId="5" xfId="1" applyNumberFormat="1" applyFont="1" applyFill="1" applyBorder="1" applyProtection="1">
      <protection locked="0"/>
    </xf>
    <xf numFmtId="164" fontId="31" fillId="2" borderId="6" xfId="1" applyNumberFormat="1" applyFont="1" applyFill="1" applyBorder="1" applyProtection="1">
      <protection locked="0"/>
    </xf>
    <xf numFmtId="0" fontId="31" fillId="0" borderId="0" xfId="0" applyFont="1" applyBorder="1"/>
    <xf numFmtId="0" fontId="42" fillId="0" borderId="0" xfId="0" applyFont="1" applyAlignment="1">
      <alignment horizontal="center"/>
    </xf>
    <xf numFmtId="0" fontId="31" fillId="0" borderId="7" xfId="0" applyFont="1" applyBorder="1" applyAlignment="1">
      <alignment vertical="center"/>
    </xf>
    <xf numFmtId="0" fontId="31" fillId="2" borderId="3" xfId="0" applyFont="1" applyFill="1" applyBorder="1" applyAlignment="1" applyProtection="1">
      <alignment horizontal="center" wrapText="1"/>
      <protection locked="0"/>
    </xf>
    <xf numFmtId="0" fontId="31" fillId="0" borderId="8" xfId="0" applyFont="1" applyBorder="1"/>
    <xf numFmtId="0" fontId="31" fillId="2" borderId="6" xfId="0" applyFont="1" applyFill="1" applyBorder="1" applyAlignment="1" applyProtection="1">
      <alignment horizontal="center"/>
      <protection locked="0"/>
    </xf>
    <xf numFmtId="0" fontId="31" fillId="0" borderId="9" xfId="0" applyFont="1" applyBorder="1"/>
    <xf numFmtId="164" fontId="31" fillId="2" borderId="3" xfId="1" applyNumberFormat="1" applyFont="1" applyFill="1" applyBorder="1" applyAlignment="1" applyProtection="1">
      <alignment horizontal="center"/>
      <protection locked="0"/>
    </xf>
    <xf numFmtId="166" fontId="31" fillId="2" borderId="4" xfId="1" applyNumberFormat="1" applyFont="1" applyFill="1" applyBorder="1" applyProtection="1">
      <protection locked="0"/>
    </xf>
    <xf numFmtId="0" fontId="31" fillId="0" borderId="10" xfId="0" applyFont="1" applyBorder="1"/>
    <xf numFmtId="9" fontId="31" fillId="2" borderId="5" xfId="2" applyFont="1" applyFill="1" applyBorder="1" applyProtection="1">
      <protection locked="0"/>
    </xf>
    <xf numFmtId="0" fontId="36" fillId="0" borderId="10" xfId="0" applyFont="1" applyBorder="1"/>
    <xf numFmtId="164" fontId="43" fillId="2" borderId="4" xfId="1" applyNumberFormat="1" applyFont="1" applyFill="1" applyBorder="1" applyProtection="1">
      <protection locked="0"/>
    </xf>
    <xf numFmtId="166" fontId="31" fillId="2" borderId="6" xfId="1" applyNumberFormat="1" applyFont="1" applyFill="1" applyBorder="1" applyProtection="1">
      <protection locked="0"/>
    </xf>
    <xf numFmtId="0" fontId="38" fillId="0" borderId="0" xfId="0" applyFont="1" applyFill="1"/>
    <xf numFmtId="0" fontId="30" fillId="3" borderId="0" xfId="0" applyFont="1" applyFill="1" applyAlignment="1">
      <alignment horizontal="center"/>
    </xf>
    <xf numFmtId="0" fontId="38" fillId="3" borderId="0" xfId="0" applyFont="1" applyFill="1"/>
    <xf numFmtId="0" fontId="38" fillId="0" borderId="7" xfId="0" applyFont="1" applyBorder="1"/>
    <xf numFmtId="0" fontId="38" fillId="0" borderId="10" xfId="0" applyFont="1" applyBorder="1"/>
    <xf numFmtId="0" fontId="38" fillId="0" borderId="0" xfId="0" applyFont="1" applyAlignment="1">
      <alignment wrapText="1"/>
    </xf>
    <xf numFmtId="0" fontId="31" fillId="3" borderId="8" xfId="0" applyFont="1" applyFill="1" applyBorder="1" applyAlignment="1">
      <alignment wrapText="1"/>
    </xf>
    <xf numFmtId="0" fontId="38" fillId="0" borderId="6" xfId="0" applyFont="1" applyBorder="1" applyAlignment="1">
      <alignment wrapText="1"/>
    </xf>
    <xf numFmtId="0" fontId="31" fillId="3" borderId="1" xfId="0" applyFont="1" applyFill="1" applyBorder="1" applyAlignment="1">
      <alignment wrapText="1"/>
    </xf>
    <xf numFmtId="0" fontId="31" fillId="3" borderId="42" xfId="0" applyFont="1" applyFill="1" applyBorder="1" applyAlignment="1">
      <alignment wrapText="1"/>
    </xf>
    <xf numFmtId="0" fontId="31" fillId="3" borderId="2" xfId="0" applyFont="1" applyFill="1" applyBorder="1" applyAlignment="1">
      <alignment wrapText="1"/>
    </xf>
    <xf numFmtId="0" fontId="31" fillId="0" borderId="15" xfId="0" applyFont="1" applyFill="1" applyBorder="1" applyAlignment="1" applyProtection="1">
      <alignment horizontal="center"/>
      <protection locked="0"/>
    </xf>
    <xf numFmtId="0" fontId="40" fillId="2" borderId="17" xfId="0" applyFont="1" applyFill="1" applyBorder="1" applyAlignment="1" applyProtection="1">
      <alignment horizontal="center"/>
      <protection locked="0"/>
    </xf>
    <xf numFmtId="0" fontId="38" fillId="0" borderId="18" xfId="0" applyFont="1" applyBorder="1"/>
    <xf numFmtId="0" fontId="40" fillId="2" borderId="16" xfId="0" applyFont="1" applyFill="1" applyBorder="1" applyAlignment="1" applyProtection="1">
      <alignment horizontal="center"/>
      <protection locked="0"/>
    </xf>
    <xf numFmtId="0" fontId="38" fillId="2" borderId="4" xfId="0" applyFont="1" applyFill="1" applyBorder="1" applyAlignment="1" applyProtection="1">
      <alignment horizontal="center"/>
      <protection locked="0"/>
    </xf>
    <xf numFmtId="0" fontId="38" fillId="0" borderId="6" xfId="0" applyFont="1" applyBorder="1"/>
    <xf numFmtId="0" fontId="40" fillId="2" borderId="22" xfId="0" applyFont="1" applyFill="1" applyBorder="1" applyAlignment="1" applyProtection="1">
      <alignment horizontal="center"/>
      <protection locked="0"/>
    </xf>
    <xf numFmtId="0" fontId="38" fillId="2" borderId="23" xfId="0" applyFont="1" applyFill="1" applyBorder="1" applyAlignment="1" applyProtection="1">
      <alignment horizontal="center"/>
      <protection locked="0"/>
    </xf>
    <xf numFmtId="0" fontId="38" fillId="0" borderId="0" xfId="0" applyFont="1" applyBorder="1"/>
    <xf numFmtId="0" fontId="40" fillId="3" borderId="0" xfId="0" applyFont="1" applyFill="1" applyBorder="1" applyAlignment="1" applyProtection="1">
      <alignment horizontal="center"/>
      <protection locked="0"/>
    </xf>
    <xf numFmtId="0" fontId="38" fillId="3" borderId="0" xfId="0" applyFont="1" applyFill="1" applyBorder="1" applyAlignment="1" applyProtection="1">
      <alignment horizontal="center"/>
      <protection locked="0"/>
    </xf>
    <xf numFmtId="0" fontId="38" fillId="0" borderId="14" xfId="0" applyFont="1" applyBorder="1"/>
    <xf numFmtId="0" fontId="38" fillId="0" borderId="8" xfId="0" applyFont="1" applyBorder="1"/>
    <xf numFmtId="0" fontId="31" fillId="0" borderId="42" xfId="0" applyFont="1" applyBorder="1"/>
    <xf numFmtId="0" fontId="31" fillId="0" borderId="2" xfId="0" applyFont="1" applyBorder="1"/>
    <xf numFmtId="167" fontId="40" fillId="2" borderId="9" xfId="0" applyNumberFormat="1" applyFont="1" applyFill="1" applyBorder="1" applyAlignment="1" applyProtection="1">
      <alignment horizontal="right"/>
      <protection locked="0"/>
    </xf>
    <xf numFmtId="0" fontId="40" fillId="2" borderId="3" xfId="0" applyFont="1" applyFill="1" applyBorder="1" applyAlignment="1" applyProtection="1">
      <alignment horizontal="center"/>
      <protection locked="0"/>
    </xf>
    <xf numFmtId="167" fontId="40" fillId="2" borderId="17" xfId="0" applyNumberFormat="1" applyFont="1" applyFill="1" applyBorder="1" applyAlignment="1" applyProtection="1">
      <alignment horizontal="right"/>
      <protection locked="0"/>
    </xf>
    <xf numFmtId="0" fontId="40" fillId="2" borderId="5" xfId="0" applyFont="1" applyFill="1" applyBorder="1" applyAlignment="1" applyProtection="1">
      <alignment horizontal="center"/>
      <protection locked="0"/>
    </xf>
    <xf numFmtId="167" fontId="40" fillId="2" borderId="16" xfId="0" applyNumberFormat="1" applyFont="1" applyFill="1" applyBorder="1" applyAlignment="1" applyProtection="1">
      <alignment horizontal="right"/>
      <protection locked="0"/>
    </xf>
    <xf numFmtId="0" fontId="31" fillId="0" borderId="7" xfId="0" applyFont="1" applyBorder="1"/>
    <xf numFmtId="0" fontId="38" fillId="0" borderId="15" xfId="0" applyFont="1" applyBorder="1"/>
    <xf numFmtId="0" fontId="38" fillId="0" borderId="19" xfId="0" applyFont="1" applyBorder="1"/>
    <xf numFmtId="0" fontId="40" fillId="2" borderId="21" xfId="0" applyFont="1" applyFill="1" applyBorder="1" applyAlignment="1" applyProtection="1">
      <alignment horizontal="right"/>
      <protection locked="0"/>
    </xf>
    <xf numFmtId="0" fontId="40" fillId="2" borderId="23" xfId="0" applyFont="1" applyFill="1" applyBorder="1" applyAlignment="1" applyProtection="1">
      <alignment horizontal="center"/>
      <protection locked="0"/>
    </xf>
    <xf numFmtId="167" fontId="40" fillId="2" borderId="22" xfId="0" applyNumberFormat="1" applyFont="1" applyFill="1" applyBorder="1" applyAlignment="1" applyProtection="1">
      <alignment horizontal="right"/>
      <protection locked="0"/>
    </xf>
    <xf numFmtId="0" fontId="36" fillId="5" borderId="0" xfId="0" applyFont="1" applyFill="1" applyAlignment="1"/>
    <xf numFmtId="0" fontId="45" fillId="5" borderId="0" xfId="0" applyFont="1" applyFill="1" applyAlignment="1"/>
    <xf numFmtId="0" fontId="34" fillId="2" borderId="21" xfId="0" applyFont="1" applyFill="1" applyBorder="1" applyAlignment="1" applyProtection="1">
      <protection locked="0"/>
    </xf>
    <xf numFmtId="0" fontId="4" fillId="11" borderId="0" xfId="0" applyFont="1" applyFill="1" applyAlignment="1">
      <alignment wrapText="1"/>
    </xf>
    <xf numFmtId="0" fontId="4" fillId="12" borderId="0" xfId="0" applyFont="1" applyFill="1" applyAlignment="1">
      <alignment wrapText="1"/>
    </xf>
    <xf numFmtId="0" fontId="4" fillId="13" borderId="0" xfId="0" applyFont="1" applyFill="1" applyAlignment="1">
      <alignment wrapText="1"/>
    </xf>
    <xf numFmtId="0" fontId="4" fillId="14" borderId="0" xfId="0" applyFont="1" applyFill="1" applyAlignment="1">
      <alignment wrapText="1"/>
    </xf>
    <xf numFmtId="0" fontId="4" fillId="15" borderId="0" xfId="0" applyFont="1" applyFill="1" applyAlignment="1">
      <alignment wrapText="1"/>
    </xf>
    <xf numFmtId="0" fontId="49" fillId="13" borderId="0" xfId="0" applyFont="1" applyFill="1" applyAlignment="1">
      <alignment wrapText="1"/>
    </xf>
    <xf numFmtId="0" fontId="50" fillId="14" borderId="0" xfId="0" applyFont="1" applyFill="1" applyAlignment="1">
      <alignment wrapText="1"/>
    </xf>
    <xf numFmtId="0" fontId="51" fillId="0" borderId="0" xfId="0" applyFont="1" applyAlignment="1">
      <alignment wrapText="1"/>
    </xf>
    <xf numFmtId="0" fontId="0" fillId="17" borderId="0" xfId="0" applyFill="1" applyAlignment="1">
      <alignment wrapText="1"/>
    </xf>
    <xf numFmtId="0" fontId="0" fillId="12" borderId="0" xfId="0" applyFill="1" applyAlignment="1">
      <alignment wrapText="1"/>
    </xf>
    <xf numFmtId="0" fontId="0" fillId="13" borderId="0" xfId="0" applyFill="1" applyAlignment="1">
      <alignment wrapText="1"/>
    </xf>
    <xf numFmtId="0" fontId="0" fillId="14" borderId="0" xfId="0" applyFill="1" applyAlignment="1">
      <alignment wrapText="1"/>
    </xf>
    <xf numFmtId="16" fontId="0" fillId="13" borderId="0" xfId="0" applyNumberFormat="1" applyFill="1" applyAlignment="1">
      <alignment wrapText="1"/>
    </xf>
    <xf numFmtId="0" fontId="0" fillId="15" borderId="0" xfId="0" applyFill="1" applyAlignment="1">
      <alignment horizontal="center" wrapText="1"/>
    </xf>
    <xf numFmtId="0" fontId="0" fillId="4" borderId="0" xfId="0" applyFill="1" applyAlignment="1">
      <alignment wrapText="1"/>
    </xf>
    <xf numFmtId="0" fontId="0" fillId="15" borderId="0" xfId="0" applyFill="1" applyAlignment="1">
      <alignment wrapText="1"/>
    </xf>
    <xf numFmtId="0" fontId="47" fillId="16" borderId="0" xfId="0" applyFont="1" applyFill="1" applyAlignment="1">
      <alignment wrapText="1"/>
    </xf>
    <xf numFmtId="0" fontId="52" fillId="16" borderId="0" xfId="0" applyFont="1" applyFill="1" applyAlignment="1">
      <alignment wrapText="1"/>
    </xf>
    <xf numFmtId="16" fontId="0" fillId="4" borderId="0" xfId="0" quotePrefix="1" applyNumberFormat="1" applyFill="1" applyAlignment="1">
      <alignment wrapText="1"/>
    </xf>
    <xf numFmtId="0" fontId="0" fillId="16" borderId="0" xfId="0" applyFill="1" applyAlignment="1">
      <alignment wrapText="1"/>
    </xf>
    <xf numFmtId="0" fontId="0" fillId="11" borderId="0" xfId="0" applyFill="1" applyAlignment="1">
      <alignment wrapText="1"/>
    </xf>
    <xf numFmtId="0" fontId="0" fillId="11" borderId="0" xfId="0" applyFill="1" applyAlignment="1">
      <alignment horizontal="center" wrapText="1"/>
    </xf>
    <xf numFmtId="0" fontId="0" fillId="15" borderId="0" xfId="0" applyFill="1" applyAlignment="1">
      <alignment horizontal="center" vertical="center" wrapText="1"/>
    </xf>
    <xf numFmtId="0" fontId="55" fillId="4" borderId="0" xfId="0" applyFont="1" applyFill="1" applyAlignment="1">
      <alignment wrapText="1"/>
    </xf>
    <xf numFmtId="0" fontId="9" fillId="4" borderId="0" xfId="0" applyFont="1" applyFill="1" applyAlignment="1">
      <alignment wrapText="1"/>
    </xf>
    <xf numFmtId="0" fontId="56" fillId="0" borderId="0" xfId="0" applyFont="1" applyAlignment="1">
      <alignment wrapText="1"/>
    </xf>
    <xf numFmtId="0" fontId="0" fillId="18" borderId="0" xfId="0" applyFill="1" applyAlignment="1">
      <alignment horizontal="center" wrapText="1"/>
    </xf>
    <xf numFmtId="0" fontId="0" fillId="16" borderId="0" xfId="0" applyFill="1" applyAlignment="1">
      <alignment horizontal="center" wrapText="1"/>
    </xf>
    <xf numFmtId="0" fontId="0" fillId="19" borderId="0" xfId="0" applyFill="1" applyAlignment="1">
      <alignment wrapText="1"/>
    </xf>
    <xf numFmtId="0" fontId="0" fillId="19" borderId="0" xfId="0" applyFill="1" applyAlignment="1">
      <alignment horizontal="center" wrapText="1"/>
    </xf>
    <xf numFmtId="0" fontId="54" fillId="4" borderId="0" xfId="0" applyFont="1" applyFill="1" applyAlignment="1">
      <alignment wrapText="1"/>
    </xf>
    <xf numFmtId="9" fontId="0" fillId="4" borderId="0" xfId="0" applyNumberFormat="1" applyFill="1" applyAlignment="1">
      <alignment wrapText="1"/>
    </xf>
    <xf numFmtId="0" fontId="48" fillId="16" borderId="0" xfId="0" applyFont="1" applyFill="1" applyAlignment="1">
      <alignment horizontal="center" wrapText="1"/>
    </xf>
    <xf numFmtId="0" fontId="9" fillId="0" borderId="0" xfId="0" applyFont="1"/>
    <xf numFmtId="0" fontId="9" fillId="0" borderId="0" xfId="0" applyFont="1" applyAlignment="1">
      <alignment wrapText="1"/>
    </xf>
    <xf numFmtId="0" fontId="9" fillId="0" borderId="48" xfId="0" applyFont="1" applyBorder="1" applyAlignment="1">
      <alignment horizontal="center" vertical="center" wrapText="1"/>
    </xf>
    <xf numFmtId="0" fontId="9" fillId="17" borderId="0" xfId="0" applyFont="1" applyFill="1" applyAlignment="1">
      <alignment horizontal="center" vertical="center" wrapText="1"/>
    </xf>
    <xf numFmtId="0" fontId="9" fillId="12" borderId="0" xfId="0" applyFont="1" applyFill="1" applyAlignment="1">
      <alignment wrapText="1"/>
    </xf>
    <xf numFmtId="0" fontId="9" fillId="13" borderId="0" xfId="0" applyFont="1" applyFill="1" applyAlignment="1">
      <alignment wrapText="1"/>
    </xf>
    <xf numFmtId="0" fontId="9" fillId="14" borderId="0" xfId="0" applyFont="1" applyFill="1" applyAlignment="1">
      <alignment wrapText="1"/>
    </xf>
    <xf numFmtId="0" fontId="9" fillId="15" borderId="0" xfId="0" applyFont="1" applyFill="1" applyAlignment="1">
      <alignment horizontal="center" wrapText="1"/>
    </xf>
    <xf numFmtId="0" fontId="9" fillId="16" borderId="0" xfId="0" applyFont="1" applyFill="1" applyAlignment="1">
      <alignment horizontal="center" wrapText="1"/>
    </xf>
    <xf numFmtId="0" fontId="0" fillId="0" borderId="33" xfId="0" applyBorder="1" applyAlignment="1">
      <alignment horizontal="center" vertical="center" wrapText="1"/>
    </xf>
    <xf numFmtId="0" fontId="0" fillId="17" borderId="0" xfId="0" applyFill="1" applyAlignment="1">
      <alignment horizontal="center" vertical="center" wrapText="1"/>
    </xf>
    <xf numFmtId="0" fontId="9" fillId="18" borderId="0" xfId="0" applyFont="1" applyFill="1" applyAlignment="1">
      <alignment horizontal="center" wrapText="1"/>
    </xf>
    <xf numFmtId="0" fontId="9" fillId="0" borderId="33" xfId="0" applyFont="1" applyBorder="1" applyAlignment="1">
      <alignment horizontal="center" vertical="center" wrapText="1"/>
    </xf>
    <xf numFmtId="0" fontId="0" fillId="0" borderId="0" xfId="0" applyAlignment="1">
      <alignment horizontal="center" wrapText="1"/>
    </xf>
    <xf numFmtId="0" fontId="0" fillId="17" borderId="0" xfId="0" applyFill="1" applyAlignment="1">
      <alignment horizontal="center" wrapText="1"/>
    </xf>
    <xf numFmtId="0" fontId="4" fillId="4" borderId="0" xfId="0" applyFont="1" applyFill="1" applyAlignment="1">
      <alignment wrapText="1"/>
    </xf>
    <xf numFmtId="0" fontId="9" fillId="11" borderId="0" xfId="0" applyFont="1" applyFill="1" applyAlignment="1">
      <alignment wrapText="1"/>
    </xf>
    <xf numFmtId="0" fontId="9" fillId="12" borderId="56" xfId="0" applyFont="1" applyFill="1" applyBorder="1" applyAlignment="1">
      <alignment wrapText="1"/>
    </xf>
    <xf numFmtId="0" fontId="9" fillId="4" borderId="57" xfId="0" applyFont="1" applyFill="1" applyBorder="1" applyAlignment="1">
      <alignment wrapText="1"/>
    </xf>
    <xf numFmtId="0" fontId="9" fillId="14" borderId="58" xfId="0" applyFont="1" applyFill="1" applyBorder="1" applyAlignment="1">
      <alignment wrapText="1"/>
    </xf>
    <xf numFmtId="0" fontId="9" fillId="0" borderId="0" xfId="0" applyFont="1" applyAlignment="1">
      <alignment horizontal="center" wrapText="1"/>
    </xf>
    <xf numFmtId="0" fontId="9" fillId="17" borderId="0" xfId="0" applyFont="1" applyFill="1" applyAlignment="1">
      <alignment horizontal="center" wrapText="1"/>
    </xf>
    <xf numFmtId="0" fontId="3" fillId="4" borderId="0" xfId="0" applyFont="1" applyFill="1" applyAlignment="1">
      <alignment wrapText="1"/>
    </xf>
    <xf numFmtId="0" fontId="9" fillId="12" borderId="59" xfId="0" applyFont="1" applyFill="1" applyBorder="1" applyAlignment="1">
      <alignment wrapText="1"/>
    </xf>
    <xf numFmtId="0" fontId="9" fillId="12" borderId="60" xfId="0" applyFont="1" applyFill="1" applyBorder="1" applyAlignment="1">
      <alignment wrapText="1"/>
    </xf>
    <xf numFmtId="0" fontId="9" fillId="13" borderId="61" xfId="0" applyFont="1" applyFill="1" applyBorder="1" applyAlignment="1">
      <alignment wrapText="1"/>
    </xf>
    <xf numFmtId="0" fontId="9" fillId="14" borderId="62" xfId="0" applyFont="1" applyFill="1" applyBorder="1" applyAlignment="1">
      <alignment wrapText="1"/>
    </xf>
    <xf numFmtId="0" fontId="9" fillId="17" borderId="0" xfId="0" applyFont="1" applyFill="1" applyAlignment="1">
      <alignment wrapText="1"/>
    </xf>
    <xf numFmtId="0" fontId="9" fillId="13" borderId="63" xfId="0" applyFont="1" applyFill="1" applyBorder="1" applyAlignment="1">
      <alignment wrapText="1"/>
    </xf>
    <xf numFmtId="0" fontId="9" fillId="12" borderId="62" xfId="0" applyFont="1" applyFill="1" applyBorder="1" applyAlignment="1">
      <alignment wrapText="1"/>
    </xf>
    <xf numFmtId="0" fontId="0" fillId="11" borderId="0" xfId="0" applyFill="1"/>
    <xf numFmtId="0" fontId="0" fillId="12" borderId="0" xfId="0" applyFill="1"/>
    <xf numFmtId="0" fontId="0" fillId="13" borderId="0" xfId="0" applyFill="1"/>
    <xf numFmtId="0" fontId="0" fillId="14" borderId="0" xfId="0" applyFill="1"/>
    <xf numFmtId="0" fontId="0" fillId="15" borderId="0" xfId="0" applyFill="1"/>
    <xf numFmtId="0" fontId="0" fillId="16" borderId="0" xfId="0" applyFill="1"/>
    <xf numFmtId="0" fontId="57" fillId="0" borderId="0" xfId="0" applyFont="1" applyAlignment="1">
      <alignment wrapText="1"/>
    </xf>
    <xf numFmtId="0" fontId="34" fillId="2" borderId="41" xfId="0" applyFont="1" applyFill="1" applyBorder="1" applyAlignment="1" applyProtection="1">
      <protection locked="0"/>
    </xf>
    <xf numFmtId="3" fontId="40" fillId="2" borderId="16" xfId="0" applyNumberFormat="1" applyFont="1" applyFill="1" applyBorder="1" applyAlignment="1" applyProtection="1">
      <alignment horizontal="center"/>
      <protection locked="0"/>
    </xf>
    <xf numFmtId="0" fontId="0" fillId="2" borderId="5" xfId="0" applyFill="1" applyBorder="1" applyAlignment="1" applyProtection="1">
      <alignment horizontal="center" wrapText="1"/>
      <protection locked="0"/>
    </xf>
    <xf numFmtId="3" fontId="38" fillId="0" borderId="0" xfId="0" applyNumberFormat="1" applyFont="1"/>
    <xf numFmtId="164" fontId="38" fillId="0" borderId="0" xfId="1" applyNumberFormat="1" applyFont="1" applyAlignment="1">
      <alignment wrapText="1"/>
    </xf>
    <xf numFmtId="164" fontId="31" fillId="0" borderId="0" xfId="1" applyNumberFormat="1" applyFont="1" applyAlignment="1">
      <alignment wrapText="1"/>
    </xf>
    <xf numFmtId="0" fontId="31" fillId="0" borderId="0" xfId="0" applyFont="1" applyAlignment="1">
      <alignment wrapText="1"/>
    </xf>
    <xf numFmtId="43" fontId="38" fillId="0" borderId="0" xfId="0" applyNumberFormat="1" applyFont="1" applyAlignment="1">
      <alignment wrapText="1"/>
    </xf>
    <xf numFmtId="0" fontId="0" fillId="0" borderId="0" xfId="0"/>
    <xf numFmtId="0" fontId="38" fillId="0" borderId="0" xfId="0" applyFont="1"/>
    <xf numFmtId="0" fontId="31" fillId="0" borderId="0" xfId="0" applyFont="1"/>
    <xf numFmtId="43" fontId="38" fillId="0" borderId="0" xfId="0" applyNumberFormat="1" applyFont="1"/>
    <xf numFmtId="167" fontId="38" fillId="0" borderId="0" xfId="0" applyNumberFormat="1" applyFont="1"/>
    <xf numFmtId="0" fontId="0" fillId="0" borderId="0" xfId="0"/>
    <xf numFmtId="0" fontId="38" fillId="0" borderId="0" xfId="0" applyFont="1" applyProtection="1"/>
    <xf numFmtId="0" fontId="38" fillId="0" borderId="0" xfId="0" applyFont="1"/>
    <xf numFmtId="0" fontId="31" fillId="0" borderId="0" xfId="0" applyFont="1"/>
    <xf numFmtId="43" fontId="38" fillId="0" borderId="0" xfId="0" applyNumberFormat="1" applyFont="1"/>
    <xf numFmtId="167" fontId="38" fillId="0" borderId="0" xfId="0" applyNumberFormat="1" applyFont="1"/>
    <xf numFmtId="0" fontId="0" fillId="0" borderId="0" xfId="0" applyAlignment="1">
      <alignment wrapText="1"/>
    </xf>
    <xf numFmtId="0" fontId="40" fillId="2" borderId="22" xfId="0" applyFont="1" applyFill="1" applyBorder="1" applyAlignment="1" applyProtection="1">
      <protection locked="0"/>
    </xf>
    <xf numFmtId="10" fontId="40" fillId="2" borderId="22" xfId="2" applyNumberFormat="1" applyFont="1" applyFill="1" applyBorder="1" applyAlignment="1" applyProtection="1">
      <protection locked="0"/>
    </xf>
    <xf numFmtId="0" fontId="40" fillId="2" borderId="23" xfId="0" applyFont="1" applyFill="1" applyBorder="1" applyAlignment="1" applyProtection="1">
      <alignment wrapText="1"/>
      <protection locked="0"/>
    </xf>
    <xf numFmtId="0" fontId="38" fillId="0" borderId="0" xfId="0" applyFont="1"/>
    <xf numFmtId="0" fontId="38" fillId="0" borderId="0" xfId="0" applyFont="1" applyAlignment="1">
      <alignment wrapText="1"/>
    </xf>
    <xf numFmtId="167" fontId="38" fillId="2" borderId="3" xfId="0" applyNumberFormat="1" applyFont="1" applyFill="1" applyBorder="1" applyAlignment="1" applyProtection="1">
      <alignment horizontal="center"/>
      <protection locked="0"/>
    </xf>
    <xf numFmtId="167" fontId="38" fillId="2" borderId="4" xfId="0" applyNumberFormat="1" applyFont="1" applyFill="1" applyBorder="1" applyAlignment="1" applyProtection="1">
      <alignment horizontal="center"/>
      <protection locked="0"/>
    </xf>
    <xf numFmtId="0" fontId="31" fillId="0" borderId="0" xfId="0" applyFont="1" applyAlignment="1">
      <alignment horizontal="right" wrapText="1"/>
    </xf>
    <xf numFmtId="0" fontId="46" fillId="0" borderId="0" xfId="0" applyFont="1" applyAlignment="1">
      <alignment wrapText="1"/>
    </xf>
    <xf numFmtId="1" fontId="38" fillId="0" borderId="0" xfId="0" applyNumberFormat="1" applyFont="1" applyAlignment="1">
      <alignment wrapText="1"/>
    </xf>
    <xf numFmtId="169" fontId="38" fillId="0" borderId="0" xfId="0" applyNumberFormat="1" applyFont="1"/>
    <xf numFmtId="9" fontId="38" fillId="0" borderId="0" xfId="2" applyNumberFormat="1" applyFont="1"/>
    <xf numFmtId="167" fontId="58" fillId="2" borderId="16" xfId="0" applyNumberFormat="1" applyFont="1" applyFill="1" applyBorder="1" applyAlignment="1" applyProtection="1">
      <alignment horizontal="right"/>
      <protection locked="0"/>
    </xf>
    <xf numFmtId="166" fontId="31" fillId="2" borderId="4" xfId="1" applyNumberFormat="1" applyFont="1" applyFill="1" applyBorder="1" applyAlignment="1" applyProtection="1">
      <alignment horizontal="right"/>
      <protection locked="0"/>
    </xf>
    <xf numFmtId="0" fontId="58" fillId="2" borderId="16" xfId="0" applyFont="1" applyFill="1" applyBorder="1" applyAlignment="1" applyProtection="1">
      <alignment horizontal="center"/>
      <protection locked="0"/>
    </xf>
    <xf numFmtId="0" fontId="58" fillId="2" borderId="5" xfId="0" applyFont="1" applyFill="1" applyBorder="1" applyAlignment="1" applyProtection="1">
      <alignment horizontal="center"/>
      <protection locked="0"/>
    </xf>
    <xf numFmtId="0" fontId="61" fillId="2" borderId="5" xfId="0" applyFont="1" applyFill="1" applyBorder="1" applyAlignment="1" applyProtection="1">
      <alignment horizontal="center"/>
      <protection locked="0"/>
    </xf>
    <xf numFmtId="167" fontId="61" fillId="2" borderId="16" xfId="0" applyNumberFormat="1" applyFont="1" applyFill="1" applyBorder="1" applyAlignment="1" applyProtection="1">
      <alignment horizontal="right"/>
      <protection locked="0"/>
    </xf>
    <xf numFmtId="0" fontId="61" fillId="2" borderId="16" xfId="0" applyFont="1" applyFill="1" applyBorder="1" applyAlignment="1" applyProtection="1">
      <alignment horizontal="center"/>
      <protection locked="0"/>
    </xf>
    <xf numFmtId="0" fontId="40" fillId="0" borderId="0" xfId="0" applyFont="1" applyAlignment="1">
      <alignment wrapText="1"/>
    </xf>
    <xf numFmtId="0" fontId="32" fillId="0" borderId="0" xfId="0" applyFont="1" applyAlignment="1">
      <alignment wrapText="1"/>
    </xf>
    <xf numFmtId="0" fontId="3" fillId="0" borderId="0" xfId="0" applyFont="1" applyFill="1"/>
    <xf numFmtId="0" fontId="61" fillId="2" borderId="4" xfId="0" applyFont="1" applyFill="1" applyBorder="1" applyAlignment="1" applyProtection="1">
      <alignment horizontal="center"/>
      <protection locked="0"/>
    </xf>
    <xf numFmtId="169" fontId="31" fillId="0" borderId="0" xfId="0" applyNumberFormat="1" applyFont="1"/>
    <xf numFmtId="9" fontId="31" fillId="0" borderId="0" xfId="2" applyNumberFormat="1" applyFont="1"/>
    <xf numFmtId="3" fontId="31" fillId="0" borderId="0" xfId="0" applyNumberFormat="1" applyFont="1"/>
    <xf numFmtId="0" fontId="31" fillId="0" borderId="15" xfId="0" applyFont="1" applyBorder="1" applyAlignment="1">
      <alignment horizontal="right"/>
    </xf>
    <xf numFmtId="0" fontId="31" fillId="0" borderId="18" xfId="0" applyFont="1" applyBorder="1" applyAlignment="1">
      <alignment horizontal="right"/>
    </xf>
    <xf numFmtId="167" fontId="61" fillId="2" borderId="4" xfId="0" applyNumberFormat="1" applyFont="1" applyFill="1" applyBorder="1" applyAlignment="1" applyProtection="1">
      <alignment horizontal="center"/>
      <protection locked="0"/>
    </xf>
    <xf numFmtId="0" fontId="46" fillId="0" borderId="0" xfId="0" applyFont="1" applyFill="1"/>
    <xf numFmtId="14" fontId="32" fillId="2" borderId="2" xfId="0" applyNumberFormat="1" applyFont="1" applyFill="1" applyBorder="1" applyAlignment="1" applyProtection="1">
      <alignment horizontal="center"/>
      <protection locked="0"/>
    </xf>
    <xf numFmtId="0" fontId="34" fillId="0" borderId="0" xfId="0" applyFont="1" applyFill="1" applyProtection="1"/>
    <xf numFmtId="0" fontId="32" fillId="0" borderId="0" xfId="0" applyFont="1" applyFill="1" applyProtection="1"/>
    <xf numFmtId="0" fontId="31" fillId="0" borderId="0" xfId="0" applyFont="1" applyFill="1" applyProtection="1"/>
    <xf numFmtId="0" fontId="58" fillId="0" borderId="0" xfId="0" applyFont="1" applyFill="1"/>
    <xf numFmtId="0" fontId="31" fillId="0" borderId="10" xfId="0" applyFont="1" applyFill="1" applyBorder="1"/>
    <xf numFmtId="0" fontId="4" fillId="4" borderId="0" xfId="0" applyFont="1" applyFill="1" applyAlignment="1">
      <alignment horizontal="center" wrapText="1"/>
    </xf>
    <xf numFmtId="0" fontId="31" fillId="0" borderId="0" xfId="0" applyFont="1" applyFill="1" applyAlignment="1">
      <alignment horizontal="left" vertical="top" wrapText="1"/>
    </xf>
    <xf numFmtId="10" fontId="40" fillId="2" borderId="16" xfId="0" applyNumberFormat="1" applyFont="1" applyFill="1" applyBorder="1" applyAlignment="1" applyProtection="1">
      <alignment horizontal="left" wrapText="1"/>
      <protection locked="0"/>
    </xf>
    <xf numFmtId="0" fontId="30" fillId="5" borderId="0" xfId="0" applyFont="1" applyFill="1" applyAlignment="1">
      <alignment horizontal="center"/>
    </xf>
    <xf numFmtId="0" fontId="31" fillId="0" borderId="0" xfId="0" applyFont="1" applyAlignment="1">
      <alignment horizontal="left" vertical="top" wrapText="1"/>
    </xf>
    <xf numFmtId="0" fontId="0" fillId="4" borderId="0" xfId="0" applyFill="1" applyAlignment="1">
      <alignment horizontal="center"/>
    </xf>
    <xf numFmtId="0" fontId="4" fillId="0" borderId="0" xfId="0" applyFont="1" applyAlignment="1">
      <alignment horizontal="center"/>
    </xf>
    <xf numFmtId="0" fontId="31" fillId="0" borderId="7" xfId="0" applyFont="1" applyBorder="1" applyAlignment="1">
      <alignment horizontal="center"/>
    </xf>
    <xf numFmtId="0" fontId="31" fillId="0" borderId="14" xfId="0" applyFont="1" applyBorder="1" applyAlignment="1">
      <alignment horizontal="center"/>
    </xf>
    <xf numFmtId="0" fontId="31" fillId="0" borderId="15" xfId="0" applyFont="1" applyBorder="1" applyAlignment="1">
      <alignment horizontal="center"/>
    </xf>
    <xf numFmtId="0" fontId="31" fillId="2" borderId="7" xfId="0" applyFont="1" applyFill="1" applyBorder="1" applyAlignment="1" applyProtection="1">
      <alignment horizontal="center"/>
      <protection locked="0"/>
    </xf>
    <xf numFmtId="0" fontId="31" fillId="2" borderId="14" xfId="0" applyFont="1" applyFill="1" applyBorder="1" applyAlignment="1" applyProtection="1">
      <alignment horizontal="center"/>
      <protection locked="0"/>
    </xf>
    <xf numFmtId="0" fontId="31" fillId="2" borderId="15" xfId="0" applyFont="1" applyFill="1" applyBorder="1" applyAlignment="1" applyProtection="1">
      <alignment horizontal="center"/>
      <protection locked="0"/>
    </xf>
    <xf numFmtId="0" fontId="35" fillId="2" borderId="1" xfId="0" applyFont="1" applyFill="1" applyBorder="1" applyAlignment="1" applyProtection="1">
      <alignment horizontal="center" wrapText="1"/>
      <protection locked="0"/>
    </xf>
    <xf numFmtId="0" fontId="35" fillId="2" borderId="42" xfId="0" applyFont="1" applyFill="1" applyBorder="1" applyAlignment="1" applyProtection="1">
      <alignment horizontal="center" wrapText="1"/>
      <protection locked="0"/>
    </xf>
    <xf numFmtId="0" fontId="35" fillId="2" borderId="2" xfId="0" applyFont="1" applyFill="1" applyBorder="1" applyAlignment="1" applyProtection="1">
      <alignment horizontal="center" wrapText="1"/>
      <protection locked="0"/>
    </xf>
    <xf numFmtId="0" fontId="31" fillId="0" borderId="42" xfId="0" applyFont="1" applyBorder="1" applyAlignment="1">
      <alignment horizontal="center" wrapText="1"/>
    </xf>
    <xf numFmtId="0" fontId="63" fillId="2" borderId="10" xfId="0" applyFont="1" applyFill="1" applyBorder="1" applyAlignment="1">
      <alignment horizontal="left" vertical="top" wrapText="1"/>
    </xf>
    <xf numFmtId="0" fontId="60" fillId="2" borderId="0" xfId="0" applyFont="1" applyFill="1" applyAlignment="1">
      <alignment horizontal="left" vertical="top" wrapText="1"/>
    </xf>
    <xf numFmtId="0" fontId="60" fillId="2" borderId="10" xfId="0" applyFont="1" applyFill="1" applyBorder="1" applyAlignment="1">
      <alignment horizontal="left" vertical="top" wrapText="1"/>
    </xf>
    <xf numFmtId="0" fontId="38" fillId="0" borderId="0" xfId="0" applyFont="1" applyAlignment="1">
      <alignment horizontal="center" wrapText="1"/>
    </xf>
    <xf numFmtId="0" fontId="30" fillId="5" borderId="0" xfId="0" applyFont="1" applyFill="1" applyAlignment="1">
      <alignment horizontal="center" vertical="center" wrapText="1"/>
    </xf>
    <xf numFmtId="0" fontId="59" fillId="5" borderId="0" xfId="0" applyFont="1" applyFill="1" applyAlignment="1">
      <alignment horizontal="center" vertical="center" wrapText="1"/>
    </xf>
    <xf numFmtId="0" fontId="62" fillId="0" borderId="0" xfId="0" applyFont="1" applyFill="1" applyAlignment="1">
      <alignment horizontal="left"/>
    </xf>
    <xf numFmtId="0" fontId="36" fillId="5" borderId="0" xfId="0" applyFont="1" applyFill="1" applyAlignment="1">
      <alignment horizontal="center" vertical="center" wrapText="1"/>
    </xf>
    <xf numFmtId="0" fontId="36" fillId="5" borderId="19" xfId="0" applyFont="1" applyFill="1" applyBorder="1" applyAlignment="1">
      <alignment horizontal="center" vertical="center" wrapText="1"/>
    </xf>
    <xf numFmtId="0" fontId="36" fillId="5" borderId="0" xfId="0" applyFont="1" applyFill="1" applyAlignment="1">
      <alignment horizontal="center" vertical="center"/>
    </xf>
    <xf numFmtId="0" fontId="38" fillId="5" borderId="0" xfId="0" applyFont="1" applyFill="1" applyAlignment="1">
      <alignment horizontal="center"/>
    </xf>
    <xf numFmtId="0" fontId="44" fillId="5" borderId="0" xfId="0" applyFont="1" applyFill="1" applyAlignment="1">
      <alignment horizontal="left"/>
    </xf>
    <xf numFmtId="0" fontId="30" fillId="5" borderId="0" xfId="0" applyFont="1" applyFill="1" applyAlignment="1">
      <alignment horizontal="center" vertical="center"/>
    </xf>
    <xf numFmtId="0" fontId="31" fillId="2" borderId="0" xfId="0" applyFont="1" applyFill="1" applyBorder="1" applyAlignment="1" applyProtection="1">
      <alignment horizontal="left"/>
      <protection locked="0"/>
    </xf>
    <xf numFmtId="0" fontId="31" fillId="2" borderId="18" xfId="0" applyFont="1" applyFill="1" applyBorder="1" applyAlignment="1" applyProtection="1">
      <alignment horizontal="left"/>
      <protection locked="0"/>
    </xf>
    <xf numFmtId="0" fontId="31" fillId="0" borderId="1" xfId="0" applyFont="1" applyBorder="1" applyAlignment="1">
      <alignment horizontal="center" wrapText="1"/>
    </xf>
    <xf numFmtId="0" fontId="40" fillId="0" borderId="0" xfId="0" applyFont="1" applyAlignment="1">
      <alignment horizontal="left" wrapText="1"/>
    </xf>
    <xf numFmtId="0" fontId="4" fillId="16" borderId="0" xfId="0" applyFont="1" applyFill="1" applyAlignment="1">
      <alignment horizontal="center" wrapText="1"/>
    </xf>
    <xf numFmtId="0" fontId="0" fillId="0" borderId="0" xfId="0" applyAlignment="1">
      <alignment horizontal="center" wrapText="1"/>
    </xf>
    <xf numFmtId="0" fontId="8" fillId="0" borderId="0" xfId="0" applyFont="1" applyFill="1" applyAlignment="1">
      <alignment horizontal="center" wrapText="1"/>
    </xf>
    <xf numFmtId="0" fontId="4" fillId="0" borderId="11" xfId="0" applyFont="1" applyFill="1" applyBorder="1" applyAlignment="1">
      <alignment horizontal="center"/>
    </xf>
    <xf numFmtId="0" fontId="4" fillId="0" borderId="12" xfId="0" applyFont="1" applyFill="1" applyBorder="1" applyAlignment="1">
      <alignment horizontal="center"/>
    </xf>
    <xf numFmtId="0" fontId="4" fillId="0" borderId="13" xfId="0" applyFont="1" applyFill="1" applyBorder="1" applyAlignment="1">
      <alignment horizontal="center"/>
    </xf>
    <xf numFmtId="0" fontId="4" fillId="0" borderId="11" xfId="0" applyFont="1" applyBorder="1" applyAlignment="1">
      <alignment horizontal="center"/>
    </xf>
    <xf numFmtId="0" fontId="4" fillId="0" borderId="12" xfId="0" applyFont="1" applyBorder="1" applyAlignment="1">
      <alignment horizontal="center"/>
    </xf>
    <xf numFmtId="0" fontId="4" fillId="0" borderId="13" xfId="0" applyFont="1" applyBorder="1" applyAlignment="1">
      <alignment horizontal="center"/>
    </xf>
    <xf numFmtId="0" fontId="26" fillId="8" borderId="0" xfId="0" quotePrefix="1" applyFont="1" applyFill="1" applyAlignment="1">
      <alignment horizontal="center"/>
    </xf>
    <xf numFmtId="0" fontId="27" fillId="8" borderId="0" xfId="0" applyFont="1" applyFill="1" applyAlignment="1">
      <alignment horizontal="center"/>
    </xf>
    <xf numFmtId="0" fontId="22" fillId="8" borderId="19" xfId="0" applyFont="1" applyFill="1" applyBorder="1"/>
    <xf numFmtId="0" fontId="24" fillId="8" borderId="0" xfId="0" applyFont="1" applyFill="1" applyAlignment="1">
      <alignment horizontal="center"/>
    </xf>
    <xf numFmtId="0" fontId="22" fillId="8" borderId="0" xfId="0" applyFont="1" applyFill="1"/>
    <xf numFmtId="0" fontId="25" fillId="8" borderId="0" xfId="0" applyFont="1" applyFill="1" applyAlignment="1">
      <alignment horizontal="center"/>
    </xf>
    <xf numFmtId="0" fontId="22" fillId="8" borderId="0" xfId="0" applyFont="1" applyFill="1" applyAlignment="1">
      <alignment horizontal="center"/>
    </xf>
    <xf numFmtId="0" fontId="26" fillId="8" borderId="0" xfId="0" applyFont="1" applyFill="1" applyAlignment="1">
      <alignment horizontal="center"/>
    </xf>
    <xf numFmtId="0" fontId="23" fillId="8" borderId="0" xfId="0" applyFont="1" applyFill="1" applyAlignment="1">
      <alignment horizontal="center"/>
    </xf>
  </cellXfs>
  <cellStyles count="5">
    <cellStyle name="Comma" xfId="1" builtinId="3"/>
    <cellStyle name="Hyperlink" xfId="3" builtinId="8"/>
    <cellStyle name="Normal" xfId="0" builtinId="0"/>
    <cellStyle name="Normal 2" xfId="4" xr:uid="{00000000-0005-0000-0000-000003000000}"/>
    <cellStyle name="Percent" xfId="2" builtinId="5"/>
  </cellStyles>
  <dxfs count="188">
    <dxf>
      <fill>
        <patternFill>
          <bgColor rgb="FFFFC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tint="-0.24994659260841701"/>
      </font>
      <fill>
        <patternFill>
          <bgColor theme="0" tint="-0.34998626667073579"/>
        </patternFill>
      </fill>
    </dxf>
    <dxf>
      <font>
        <color theme="0" tint="-0.24994659260841701"/>
      </font>
      <fill>
        <patternFill>
          <bgColor theme="0" tint="-0.34998626667073579"/>
        </patternFill>
      </fill>
    </dxf>
    <dxf>
      <font>
        <color theme="0" tint="-0.24994659260841701"/>
      </font>
      <fill>
        <patternFill>
          <bgColor theme="0" tint="-0.34998626667073579"/>
        </patternFill>
      </fill>
    </dxf>
    <dxf>
      <font>
        <color theme="0" tint="-0.24994659260841701"/>
      </font>
      <fill>
        <patternFill>
          <bgColor theme="0" tint="-0.34998626667073579"/>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theme="0"/>
      </font>
      <fill>
        <patternFill>
          <bgColor theme="0"/>
        </patternFill>
      </fill>
    </dxf>
    <dxf>
      <font>
        <color theme="0"/>
      </font>
      <fill>
        <patternFill>
          <bgColor theme="0"/>
        </patternFill>
      </fill>
    </dxf>
    <dxf>
      <font>
        <color theme="0"/>
      </font>
      <fill>
        <patternFill patternType="none">
          <bgColor auto="1"/>
        </patternFill>
      </fill>
    </dxf>
    <dxf>
      <font>
        <color theme="0" tint="-0.24994659260841701"/>
      </font>
      <fill>
        <patternFill>
          <bgColor theme="0" tint="-0.34998626667073579"/>
        </patternFill>
      </fill>
    </dxf>
    <dxf>
      <font>
        <color theme="0" tint="-0.24994659260841701"/>
      </font>
      <fill>
        <patternFill>
          <bgColor theme="0" tint="-0.34998626667073579"/>
        </patternFill>
      </fill>
    </dxf>
    <dxf>
      <font>
        <color theme="0"/>
      </font>
      <fill>
        <patternFill patternType="none">
          <bgColor auto="1"/>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 Id="rId30" Type="http://schemas.openxmlformats.org/officeDocument/2006/relationships/customXml" Target="../customXml/item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C823-4243-BB6F-5C27F799EC2E}"/>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C823-4243-BB6F-5C27F799EC2E}"/>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C823-4243-BB6F-5C27F799EC2E}"/>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C823-4243-BB6F-5C27F799EC2E}"/>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C823-4243-BB6F-5C27F799EC2E}"/>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C823-4243-BB6F-5C27F799EC2E}"/>
              </c:ext>
            </c:extLst>
          </c:dPt>
          <c:dLbls>
            <c:dLbl>
              <c:idx val="1"/>
              <c:layout>
                <c:manualLayout>
                  <c:x val="-0.10775154602459622"/>
                  <c:y val="3.8727514831994415E-2"/>
                </c:manualLayout>
              </c:layout>
              <c:dLblPos val="bestFit"/>
              <c:showLegendKey val="0"/>
              <c:showVal val="0"/>
              <c:showCatName val="1"/>
              <c:showSerName val="0"/>
              <c:showPercent val="1"/>
              <c:showBubbleSize val="0"/>
              <c:extLst>
                <c:ext xmlns:c15="http://schemas.microsoft.com/office/drawing/2012/chart" uri="{CE6537A1-D6FC-4f65-9D91-7224C49458BB}">
                  <c15:layout>
                    <c:manualLayout>
                      <c:w val="7.3688603688238055E-2"/>
                      <c:h val="0.12570890326253054"/>
                    </c:manualLayout>
                  </c15:layout>
                </c:ext>
                <c:ext xmlns:c16="http://schemas.microsoft.com/office/drawing/2014/chart" uri="{C3380CC4-5D6E-409C-BE32-E72D297353CC}">
                  <c16:uniqueId val="{00000003-C823-4243-BB6F-5C27F799EC2E}"/>
                </c:ext>
              </c:extLst>
            </c:dLbl>
            <c:dLbl>
              <c:idx val="2"/>
              <c:layout>
                <c:manualLayout>
                  <c:x val="-6.9268851015811844E-2"/>
                  <c:y val="1.2909171610664806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C823-4243-BB6F-5C27F799EC2E}"/>
                </c:ext>
              </c:extLst>
            </c:dLbl>
            <c:dLbl>
              <c:idx val="4"/>
              <c:layout>
                <c:manualLayout>
                  <c:x val="0.10518603302401057"/>
                  <c:y val="0"/>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C823-4243-BB6F-5C27F799EC2E}"/>
                </c:ext>
              </c:extLst>
            </c:dLbl>
            <c:dLbl>
              <c:idx val="5"/>
              <c:layout>
                <c:manualLayout>
                  <c:x val="0.24132063720878649"/>
                  <c:y val="2.1515286017774676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C823-4243-BB6F-5C27F799EC2E}"/>
                </c:ext>
              </c:extLst>
            </c:dLbl>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n-US"/>
              </a:p>
            </c:txPr>
            <c:dLblPos val="outEnd"/>
            <c:showLegendKey val="0"/>
            <c:showVal val="0"/>
            <c:showCatName val="1"/>
            <c:showSerName val="0"/>
            <c:showPercent val="1"/>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ext>
            </c:extLst>
          </c:dLbls>
          <c:cat>
            <c:strRef>
              <c:f>'policy interact graph numbers'!$BG$27:$BG$32</c:f>
              <c:strCache>
                <c:ptCount val="6"/>
                <c:pt idx="0">
                  <c:v>Service delivery</c:v>
                </c:pt>
                <c:pt idx="1">
                  <c:v>Travel</c:v>
                </c:pt>
                <c:pt idx="2">
                  <c:v>Administration</c:v>
                </c:pt>
                <c:pt idx="3">
                  <c:v>Campaigns</c:v>
                </c:pt>
                <c:pt idx="4">
                  <c:v>Training</c:v>
                </c:pt>
                <c:pt idx="5">
                  <c:v>Other meetings</c:v>
                </c:pt>
              </c:strCache>
            </c:strRef>
          </c:cat>
          <c:val>
            <c:numRef>
              <c:f>'policy interact graph numbers'!$BH$27:$BH$32</c:f>
              <c:numCache>
                <c:formatCode>0%</c:formatCode>
                <c:ptCount val="6"/>
                <c:pt idx="0">
                  <c:v>#N/A</c:v>
                </c:pt>
                <c:pt idx="1">
                  <c:v>#N/A</c:v>
                </c:pt>
                <c:pt idx="2">
                  <c:v>#N/A</c:v>
                </c:pt>
                <c:pt idx="3">
                  <c:v>#N/A</c:v>
                </c:pt>
                <c:pt idx="4">
                  <c:v>#N/A</c:v>
                </c:pt>
                <c:pt idx="5">
                  <c:v>#N/A</c:v>
                </c:pt>
              </c:numCache>
            </c:numRef>
          </c:val>
          <c:extLst>
            <c:ext xmlns:c16="http://schemas.microsoft.com/office/drawing/2014/chart" uri="{C3380CC4-5D6E-409C-BE32-E72D297353CC}">
              <c16:uniqueId val="{0000000C-C823-4243-BB6F-5C27F799EC2E}"/>
            </c:ext>
          </c:extLst>
        </c:ser>
        <c:dLbls>
          <c:showLegendKey val="0"/>
          <c:showVal val="0"/>
          <c:showCatName val="0"/>
          <c:showSerName val="0"/>
          <c:showPercent val="0"/>
          <c:showBubbleSize val="0"/>
          <c:showLeaderLines val="0"/>
        </c:dLbls>
        <c:firstSliceAng val="0"/>
      </c:pie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55077605063187"/>
          <c:y val="5.23021830696788E-2"/>
          <c:w val="0.8934492239493681"/>
          <c:h val="0.77037979431398285"/>
        </c:manualLayout>
      </c:layout>
      <c:barChart>
        <c:barDir val="col"/>
        <c:grouping val="clustered"/>
        <c:varyColors val="0"/>
        <c:ser>
          <c:idx val="0"/>
          <c:order val="0"/>
          <c:tx>
            <c:strRef>
              <c:f>CHW_time_calcs_1!$B$69</c:f>
              <c:strCache>
                <c:ptCount val="1"/>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1"/>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CHW_time_calcs_1!$C$68:$E$68</c:f>
              <c:numCache>
                <c:formatCode>0</c:formatCode>
                <c:ptCount val="3"/>
                <c:pt idx="0">
                  <c:v>0</c:v>
                </c:pt>
                <c:pt idx="1">
                  <c:v>0</c:v>
                </c:pt>
                <c:pt idx="2">
                  <c:v>0</c:v>
                </c:pt>
              </c:numCache>
            </c:numRef>
          </c:cat>
          <c:val>
            <c:numRef>
              <c:f>CHW_time_calcs_1!$C$69:$E$69</c:f>
              <c:numCache>
                <c:formatCode>0</c:formatCode>
                <c:ptCount val="3"/>
                <c:pt idx="0">
                  <c:v>0</c:v>
                </c:pt>
                <c:pt idx="1">
                  <c:v>0</c:v>
                </c:pt>
                <c:pt idx="2">
                  <c:v>0</c:v>
                </c:pt>
              </c:numCache>
            </c:numRef>
          </c:val>
          <c:extLst>
            <c:ext xmlns:c16="http://schemas.microsoft.com/office/drawing/2014/chart" uri="{C3380CC4-5D6E-409C-BE32-E72D297353CC}">
              <c16:uniqueId val="{00000000-46C3-4DD4-B7BD-C5DC28CC3C64}"/>
            </c:ext>
          </c:extLst>
        </c:ser>
        <c:ser>
          <c:idx val="1"/>
          <c:order val="1"/>
          <c:tx>
            <c:strRef>
              <c:f>CHW_time_calcs_1!$B$70</c:f>
              <c:strCache>
                <c:ptCount val="1"/>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2"/>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CHW_time_calcs_1!$C$68:$E$68</c:f>
              <c:numCache>
                <c:formatCode>0</c:formatCode>
                <c:ptCount val="3"/>
                <c:pt idx="0">
                  <c:v>0</c:v>
                </c:pt>
                <c:pt idx="1">
                  <c:v>0</c:v>
                </c:pt>
                <c:pt idx="2">
                  <c:v>0</c:v>
                </c:pt>
              </c:numCache>
            </c:numRef>
          </c:cat>
          <c:val>
            <c:numRef>
              <c:f>CHW_time_calcs_1!$C$70:$E$70</c:f>
              <c:numCache>
                <c:formatCode>0</c:formatCode>
                <c:ptCount val="3"/>
                <c:pt idx="0">
                  <c:v>0</c:v>
                </c:pt>
                <c:pt idx="1">
                  <c:v>0</c:v>
                </c:pt>
                <c:pt idx="2">
                  <c:v>0</c:v>
                </c:pt>
              </c:numCache>
            </c:numRef>
          </c:val>
          <c:extLst>
            <c:ext xmlns:c16="http://schemas.microsoft.com/office/drawing/2014/chart" uri="{C3380CC4-5D6E-409C-BE32-E72D297353CC}">
              <c16:uniqueId val="{00000001-46C3-4DD4-B7BD-C5DC28CC3C64}"/>
            </c:ext>
          </c:extLst>
        </c:ser>
        <c:ser>
          <c:idx val="2"/>
          <c:order val="2"/>
          <c:tx>
            <c:strRef>
              <c:f>CHW_time_calcs_1!$B$71</c:f>
              <c:strCache>
                <c:ptCount val="1"/>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CHW_time_calcs_1!$C$68:$E$68</c:f>
              <c:numCache>
                <c:formatCode>0</c:formatCode>
                <c:ptCount val="3"/>
                <c:pt idx="0">
                  <c:v>0</c:v>
                </c:pt>
                <c:pt idx="1">
                  <c:v>0</c:v>
                </c:pt>
                <c:pt idx="2">
                  <c:v>0</c:v>
                </c:pt>
              </c:numCache>
            </c:numRef>
          </c:cat>
          <c:val>
            <c:numRef>
              <c:f>CHW_time_calcs_1!$C$71:$E$71</c:f>
              <c:numCache>
                <c:formatCode>0</c:formatCode>
                <c:ptCount val="3"/>
                <c:pt idx="0">
                  <c:v>0</c:v>
                </c:pt>
                <c:pt idx="1">
                  <c:v>0</c:v>
                </c:pt>
                <c:pt idx="2">
                  <c:v>0</c:v>
                </c:pt>
              </c:numCache>
            </c:numRef>
          </c:val>
          <c:extLst xmlns:c15="http://schemas.microsoft.com/office/drawing/2012/chart">
            <c:ext xmlns:c16="http://schemas.microsoft.com/office/drawing/2014/chart" uri="{C3380CC4-5D6E-409C-BE32-E72D297353CC}">
              <c16:uniqueId val="{00000002-46C3-4DD4-B7BD-C5DC28CC3C64}"/>
            </c:ext>
          </c:extLst>
        </c:ser>
        <c:ser>
          <c:idx val="3"/>
          <c:order val="3"/>
          <c:tx>
            <c:strRef>
              <c:f>CHW_time_calcs_1!$B$72</c:f>
              <c:strCache>
                <c:ptCount val="1"/>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CHW_time_calcs_1!$C$68:$E$68</c:f>
              <c:numCache>
                <c:formatCode>0</c:formatCode>
                <c:ptCount val="3"/>
                <c:pt idx="0">
                  <c:v>0</c:v>
                </c:pt>
                <c:pt idx="1">
                  <c:v>0</c:v>
                </c:pt>
                <c:pt idx="2">
                  <c:v>0</c:v>
                </c:pt>
              </c:numCache>
            </c:numRef>
          </c:cat>
          <c:val>
            <c:numRef>
              <c:f>CHW_time_calcs_1!$C$72:$E$72</c:f>
              <c:numCache>
                <c:formatCode>0</c:formatCode>
                <c:ptCount val="3"/>
                <c:pt idx="0">
                  <c:v>0</c:v>
                </c:pt>
                <c:pt idx="1">
                  <c:v>0</c:v>
                </c:pt>
                <c:pt idx="2">
                  <c:v>0</c:v>
                </c:pt>
              </c:numCache>
            </c:numRef>
          </c:val>
          <c:extLst xmlns:c15="http://schemas.microsoft.com/office/drawing/2012/chart">
            <c:ext xmlns:c16="http://schemas.microsoft.com/office/drawing/2014/chart" uri="{C3380CC4-5D6E-409C-BE32-E72D297353CC}">
              <c16:uniqueId val="{00000003-46C3-4DD4-B7BD-C5DC28CC3C64}"/>
            </c:ext>
          </c:extLst>
        </c:ser>
        <c:ser>
          <c:idx val="4"/>
          <c:order val="4"/>
          <c:tx>
            <c:strRef>
              <c:f>CHW_time_calcs_1!$B$73</c:f>
              <c:strCache>
                <c:ptCount val="1"/>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CHW_time_calcs_1!$C$68:$E$68</c:f>
              <c:numCache>
                <c:formatCode>0</c:formatCode>
                <c:ptCount val="3"/>
                <c:pt idx="0">
                  <c:v>0</c:v>
                </c:pt>
                <c:pt idx="1">
                  <c:v>0</c:v>
                </c:pt>
                <c:pt idx="2">
                  <c:v>0</c:v>
                </c:pt>
              </c:numCache>
            </c:numRef>
          </c:cat>
          <c:val>
            <c:numRef>
              <c:f>CHW_time_calcs_1!$C$73:$E$73</c:f>
              <c:numCache>
                <c:formatCode>0</c:formatCode>
                <c:ptCount val="3"/>
                <c:pt idx="0">
                  <c:v>0</c:v>
                </c:pt>
                <c:pt idx="1">
                  <c:v>0</c:v>
                </c:pt>
                <c:pt idx="2">
                  <c:v>0</c:v>
                </c:pt>
              </c:numCache>
            </c:numRef>
          </c:val>
          <c:extLst xmlns:c15="http://schemas.microsoft.com/office/drawing/2012/chart">
            <c:ext xmlns:c16="http://schemas.microsoft.com/office/drawing/2014/chart" uri="{C3380CC4-5D6E-409C-BE32-E72D297353CC}">
              <c16:uniqueId val="{00000004-46C3-4DD4-B7BD-C5DC28CC3C64}"/>
            </c:ext>
          </c:extLst>
        </c:ser>
        <c:ser>
          <c:idx val="5"/>
          <c:order val="5"/>
          <c:tx>
            <c:strRef>
              <c:f>CHW_time_calcs_1!$B$74</c:f>
              <c:strCache>
                <c:ptCount val="1"/>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CHW_time_calcs_1!$C$68:$E$68</c:f>
              <c:numCache>
                <c:formatCode>0</c:formatCode>
                <c:ptCount val="3"/>
                <c:pt idx="0">
                  <c:v>0</c:v>
                </c:pt>
                <c:pt idx="1">
                  <c:v>0</c:v>
                </c:pt>
                <c:pt idx="2">
                  <c:v>0</c:v>
                </c:pt>
              </c:numCache>
            </c:numRef>
          </c:cat>
          <c:val>
            <c:numRef>
              <c:f>CHW_time_calcs_1!$C$74:$E$74</c:f>
              <c:numCache>
                <c:formatCode>0</c:formatCode>
                <c:ptCount val="3"/>
                <c:pt idx="0">
                  <c:v>0</c:v>
                </c:pt>
                <c:pt idx="1">
                  <c:v>0</c:v>
                </c:pt>
                <c:pt idx="2">
                  <c:v>0</c:v>
                </c:pt>
              </c:numCache>
            </c:numRef>
          </c:val>
          <c:extLst xmlns:c15="http://schemas.microsoft.com/office/drawing/2012/chart">
            <c:ext xmlns:c16="http://schemas.microsoft.com/office/drawing/2014/chart" uri="{C3380CC4-5D6E-409C-BE32-E72D297353CC}">
              <c16:uniqueId val="{00000005-46C3-4DD4-B7BD-C5DC28CC3C64}"/>
            </c:ext>
          </c:extLst>
        </c:ser>
        <c:dLbls>
          <c:showLegendKey val="0"/>
          <c:showVal val="0"/>
          <c:showCatName val="0"/>
          <c:showSerName val="0"/>
          <c:showPercent val="0"/>
          <c:showBubbleSize val="0"/>
        </c:dLbls>
        <c:gapWidth val="150"/>
        <c:axId val="473385824"/>
        <c:axId val="473391704"/>
      </c:barChart>
      <c:scatterChart>
        <c:scatterStyle val="lineMarker"/>
        <c:varyColors val="0"/>
        <c:ser>
          <c:idx val="6"/>
          <c:order val="6"/>
          <c:tx>
            <c:strRef>
              <c:f>CHW_time_calcs_1!$B$75</c:f>
              <c:strCache>
                <c:ptCount val="1"/>
                <c:pt idx="0">
                  <c:v>Reference point -- 100%</c:v>
                </c:pt>
              </c:strCache>
            </c:strRef>
          </c:tx>
          <c:spPr>
            <a:ln w="25400" cap="rnd">
              <a:noFill/>
              <a:round/>
            </a:ln>
            <a:effectLst/>
          </c:spPr>
          <c:marker>
            <c:symbol val="square"/>
            <c:size val="3"/>
            <c:spPr>
              <a:solidFill>
                <a:schemeClr val="accent1">
                  <a:lumMod val="60000"/>
                </a:schemeClr>
              </a:solidFill>
              <a:ln w="9525">
                <a:solidFill>
                  <a:schemeClr val="accent1">
                    <a:lumMod val="60000"/>
                  </a:schemeClr>
                </a:solidFill>
              </a:ln>
              <a:effectLst/>
            </c:spPr>
          </c:marker>
          <c:errBars>
            <c:errDir val="y"/>
            <c:errBarType val="both"/>
            <c:errValType val="fixedVal"/>
            <c:noEndCap val="1"/>
            <c:val val="1"/>
            <c:spPr>
              <a:noFill/>
              <a:ln w="9525" cap="flat" cmpd="sng" algn="ctr">
                <a:solidFill>
                  <a:schemeClr val="tx1">
                    <a:lumMod val="65000"/>
                    <a:lumOff val="35000"/>
                  </a:schemeClr>
                </a:solidFill>
                <a:round/>
              </a:ln>
              <a:effectLst/>
            </c:spPr>
          </c:errBars>
          <c:errBars>
            <c:errDir val="x"/>
            <c:errBarType val="both"/>
            <c:errValType val="fixedVal"/>
            <c:noEndCap val="1"/>
            <c:val val="0.5"/>
            <c:spPr>
              <a:noFill/>
              <a:ln w="28575" cap="flat" cmpd="sng" algn="ctr">
                <a:solidFill>
                  <a:schemeClr val="tx1">
                    <a:lumMod val="65000"/>
                    <a:lumOff val="35000"/>
                  </a:schemeClr>
                </a:solidFill>
                <a:round/>
              </a:ln>
              <a:effectLst/>
            </c:spPr>
          </c:errBars>
          <c:xVal>
            <c:numRef>
              <c:f>CHW_time_calcs_1!$C$68:$E$68</c:f>
              <c:numCache>
                <c:formatCode>0</c:formatCode>
                <c:ptCount val="3"/>
                <c:pt idx="0">
                  <c:v>0</c:v>
                </c:pt>
                <c:pt idx="1">
                  <c:v>0</c:v>
                </c:pt>
                <c:pt idx="2">
                  <c:v>0</c:v>
                </c:pt>
              </c:numCache>
            </c:numRef>
          </c:xVal>
          <c:yVal>
            <c:numRef>
              <c:f>CHW_time_calcs_1!$C$75:$E$75</c:f>
              <c:numCache>
                <c:formatCode>General</c:formatCode>
                <c:ptCount val="3"/>
                <c:pt idx="0">
                  <c:v>100</c:v>
                </c:pt>
                <c:pt idx="1">
                  <c:v>100</c:v>
                </c:pt>
                <c:pt idx="2">
                  <c:v>100</c:v>
                </c:pt>
              </c:numCache>
            </c:numRef>
          </c:yVal>
          <c:smooth val="0"/>
          <c:extLst>
            <c:ext xmlns:c16="http://schemas.microsoft.com/office/drawing/2014/chart" uri="{C3380CC4-5D6E-409C-BE32-E72D297353CC}">
              <c16:uniqueId val="{00000001-44DF-478D-AFDD-780EEEF13C39}"/>
            </c:ext>
          </c:extLst>
        </c:ser>
        <c:dLbls>
          <c:showLegendKey val="0"/>
          <c:showVal val="0"/>
          <c:showCatName val="0"/>
          <c:showSerName val="0"/>
          <c:showPercent val="0"/>
          <c:showBubbleSize val="0"/>
        </c:dLbls>
        <c:axId val="473385824"/>
        <c:axId val="473391704"/>
      </c:scatterChart>
      <c:catAx>
        <c:axId val="473385824"/>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crossAx val="473391704"/>
        <c:crosses val="autoZero"/>
        <c:auto val="1"/>
        <c:lblAlgn val="ctr"/>
        <c:lblOffset val="100"/>
        <c:noMultiLvlLbl val="0"/>
      </c:catAx>
      <c:valAx>
        <c:axId val="473391704"/>
        <c:scaling>
          <c:orientation val="minMax"/>
        </c:scaling>
        <c:delete val="0"/>
        <c:axPos val="l"/>
        <c:title>
          <c:tx>
            <c:rich>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r>
                  <a:rPr lang="en-US" sz="1200"/>
                  <a:t>Percent of available time occupied (%)</a:t>
                </a:r>
              </a:p>
            </c:rich>
          </c:tx>
          <c:overlay val="0"/>
          <c:spPr>
            <a:noFill/>
            <a:ln>
              <a:noFill/>
            </a:ln>
            <a:effectLst/>
          </c:spPr>
          <c:txPr>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crossAx val="4733858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55077605063187"/>
          <c:y val="5.23021830696788E-2"/>
          <c:w val="0.8934492239493681"/>
          <c:h val="0.77037979431398285"/>
        </c:manualLayout>
      </c:layout>
      <c:barChart>
        <c:barDir val="col"/>
        <c:grouping val="clustered"/>
        <c:varyColors val="0"/>
        <c:ser>
          <c:idx val="0"/>
          <c:order val="0"/>
          <c:tx>
            <c:strRef>
              <c:f>CHW_time_calcs_1!$B$78</c:f>
              <c:strCache>
                <c:ptCount val="1"/>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1"/>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CHW_time_calcs_1!$C$77:$E$77</c:f>
              <c:numCache>
                <c:formatCode>0</c:formatCode>
                <c:ptCount val="3"/>
                <c:pt idx="0">
                  <c:v>0</c:v>
                </c:pt>
                <c:pt idx="1">
                  <c:v>0</c:v>
                </c:pt>
                <c:pt idx="2">
                  <c:v>0</c:v>
                </c:pt>
              </c:numCache>
            </c:numRef>
          </c:cat>
          <c:val>
            <c:numRef>
              <c:f>CHW_time_calcs_1!$C$78:$E$78</c:f>
              <c:numCache>
                <c:formatCode>0</c:formatCode>
                <c:ptCount val="3"/>
                <c:pt idx="0">
                  <c:v>0</c:v>
                </c:pt>
                <c:pt idx="1">
                  <c:v>0</c:v>
                </c:pt>
                <c:pt idx="2">
                  <c:v>0</c:v>
                </c:pt>
              </c:numCache>
            </c:numRef>
          </c:val>
          <c:extLst>
            <c:ext xmlns:c16="http://schemas.microsoft.com/office/drawing/2014/chart" uri="{C3380CC4-5D6E-409C-BE32-E72D297353CC}">
              <c16:uniqueId val="{00000000-1121-4BBA-BC19-137B90787A5F}"/>
            </c:ext>
          </c:extLst>
        </c:ser>
        <c:ser>
          <c:idx val="1"/>
          <c:order val="1"/>
          <c:tx>
            <c:strRef>
              <c:f>CHW_time_calcs_1!$B$79</c:f>
              <c:strCache>
                <c:ptCount val="1"/>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2"/>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CHW_time_calcs_1!$C$77:$E$77</c:f>
              <c:numCache>
                <c:formatCode>0</c:formatCode>
                <c:ptCount val="3"/>
                <c:pt idx="0">
                  <c:v>0</c:v>
                </c:pt>
                <c:pt idx="1">
                  <c:v>0</c:v>
                </c:pt>
                <c:pt idx="2">
                  <c:v>0</c:v>
                </c:pt>
              </c:numCache>
            </c:numRef>
          </c:cat>
          <c:val>
            <c:numRef>
              <c:f>CHW_time_calcs_1!$C$79:$E$79</c:f>
              <c:numCache>
                <c:formatCode>0</c:formatCode>
                <c:ptCount val="3"/>
                <c:pt idx="0">
                  <c:v>0</c:v>
                </c:pt>
                <c:pt idx="1">
                  <c:v>0</c:v>
                </c:pt>
                <c:pt idx="2">
                  <c:v>0</c:v>
                </c:pt>
              </c:numCache>
            </c:numRef>
          </c:val>
          <c:extLst>
            <c:ext xmlns:c16="http://schemas.microsoft.com/office/drawing/2014/chart" uri="{C3380CC4-5D6E-409C-BE32-E72D297353CC}">
              <c16:uniqueId val="{00000001-1121-4BBA-BC19-137B90787A5F}"/>
            </c:ext>
          </c:extLst>
        </c:ser>
        <c:ser>
          <c:idx val="2"/>
          <c:order val="2"/>
          <c:tx>
            <c:strRef>
              <c:f>CHW_time_calcs_1!$B$80</c:f>
              <c:strCache>
                <c:ptCount val="1"/>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CHW_time_calcs_1!$C$77:$E$77</c:f>
              <c:numCache>
                <c:formatCode>0</c:formatCode>
                <c:ptCount val="3"/>
                <c:pt idx="0">
                  <c:v>0</c:v>
                </c:pt>
                <c:pt idx="1">
                  <c:v>0</c:v>
                </c:pt>
                <c:pt idx="2">
                  <c:v>0</c:v>
                </c:pt>
              </c:numCache>
            </c:numRef>
          </c:cat>
          <c:val>
            <c:numRef>
              <c:f>CHW_time_calcs_1!$C$80:$E$80</c:f>
              <c:numCache>
                <c:formatCode>0</c:formatCode>
                <c:ptCount val="3"/>
                <c:pt idx="0">
                  <c:v>0</c:v>
                </c:pt>
                <c:pt idx="1">
                  <c:v>0</c:v>
                </c:pt>
                <c:pt idx="2">
                  <c:v>0</c:v>
                </c:pt>
              </c:numCache>
            </c:numRef>
          </c:val>
          <c:extLst>
            <c:ext xmlns:c16="http://schemas.microsoft.com/office/drawing/2014/chart" uri="{C3380CC4-5D6E-409C-BE32-E72D297353CC}">
              <c16:uniqueId val="{00000001-086B-4CAB-AFB2-D23FE828585D}"/>
            </c:ext>
          </c:extLst>
        </c:ser>
        <c:ser>
          <c:idx val="3"/>
          <c:order val="3"/>
          <c:tx>
            <c:strRef>
              <c:f>CHW_time_calcs_1!$B$81</c:f>
              <c:strCache>
                <c:ptCount val="1"/>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CHW_time_calcs_1!$C$77:$E$77</c:f>
              <c:numCache>
                <c:formatCode>0</c:formatCode>
                <c:ptCount val="3"/>
                <c:pt idx="0">
                  <c:v>0</c:v>
                </c:pt>
                <c:pt idx="1">
                  <c:v>0</c:v>
                </c:pt>
                <c:pt idx="2">
                  <c:v>0</c:v>
                </c:pt>
              </c:numCache>
            </c:numRef>
          </c:cat>
          <c:val>
            <c:numRef>
              <c:f>CHW_time_calcs_1!$C$81:$E$81</c:f>
              <c:numCache>
                <c:formatCode>0</c:formatCode>
                <c:ptCount val="3"/>
                <c:pt idx="0">
                  <c:v>0</c:v>
                </c:pt>
                <c:pt idx="1">
                  <c:v>0</c:v>
                </c:pt>
                <c:pt idx="2">
                  <c:v>0</c:v>
                </c:pt>
              </c:numCache>
            </c:numRef>
          </c:val>
          <c:extLst>
            <c:ext xmlns:c16="http://schemas.microsoft.com/office/drawing/2014/chart" uri="{C3380CC4-5D6E-409C-BE32-E72D297353CC}">
              <c16:uniqueId val="{00000002-086B-4CAB-AFB2-D23FE828585D}"/>
            </c:ext>
          </c:extLst>
        </c:ser>
        <c:ser>
          <c:idx val="4"/>
          <c:order val="4"/>
          <c:tx>
            <c:strRef>
              <c:f>CHW_time_calcs_1!$B$82</c:f>
              <c:strCache>
                <c:ptCount val="1"/>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CHW_time_calcs_1!$C$77:$E$77</c:f>
              <c:numCache>
                <c:formatCode>0</c:formatCode>
                <c:ptCount val="3"/>
                <c:pt idx="0">
                  <c:v>0</c:v>
                </c:pt>
                <c:pt idx="1">
                  <c:v>0</c:v>
                </c:pt>
                <c:pt idx="2">
                  <c:v>0</c:v>
                </c:pt>
              </c:numCache>
            </c:numRef>
          </c:cat>
          <c:val>
            <c:numRef>
              <c:f>CHW_time_calcs_1!$C$82:$E$82</c:f>
              <c:numCache>
                <c:formatCode>0</c:formatCode>
                <c:ptCount val="3"/>
                <c:pt idx="0">
                  <c:v>0</c:v>
                </c:pt>
                <c:pt idx="1">
                  <c:v>0</c:v>
                </c:pt>
                <c:pt idx="2">
                  <c:v>0</c:v>
                </c:pt>
              </c:numCache>
            </c:numRef>
          </c:val>
          <c:extLst>
            <c:ext xmlns:c16="http://schemas.microsoft.com/office/drawing/2014/chart" uri="{C3380CC4-5D6E-409C-BE32-E72D297353CC}">
              <c16:uniqueId val="{00000003-086B-4CAB-AFB2-D23FE828585D}"/>
            </c:ext>
          </c:extLst>
        </c:ser>
        <c:ser>
          <c:idx val="5"/>
          <c:order val="5"/>
          <c:tx>
            <c:strRef>
              <c:f>CHW_time_calcs_1!$B$83</c:f>
              <c:strCache>
                <c:ptCount val="1"/>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CHW_time_calcs_1!$C$77:$E$77</c:f>
              <c:numCache>
                <c:formatCode>0</c:formatCode>
                <c:ptCount val="3"/>
                <c:pt idx="0">
                  <c:v>0</c:v>
                </c:pt>
                <c:pt idx="1">
                  <c:v>0</c:v>
                </c:pt>
                <c:pt idx="2">
                  <c:v>0</c:v>
                </c:pt>
              </c:numCache>
            </c:numRef>
          </c:cat>
          <c:val>
            <c:numRef>
              <c:f>CHW_time_calcs_1!$C$83:$E$83</c:f>
              <c:numCache>
                <c:formatCode>0</c:formatCode>
                <c:ptCount val="3"/>
                <c:pt idx="0">
                  <c:v>0</c:v>
                </c:pt>
                <c:pt idx="1">
                  <c:v>0</c:v>
                </c:pt>
                <c:pt idx="2">
                  <c:v>0</c:v>
                </c:pt>
              </c:numCache>
            </c:numRef>
          </c:val>
          <c:extLst>
            <c:ext xmlns:c16="http://schemas.microsoft.com/office/drawing/2014/chart" uri="{C3380CC4-5D6E-409C-BE32-E72D297353CC}">
              <c16:uniqueId val="{00000004-086B-4CAB-AFB2-D23FE828585D}"/>
            </c:ext>
          </c:extLst>
        </c:ser>
        <c:dLbls>
          <c:showLegendKey val="0"/>
          <c:showVal val="0"/>
          <c:showCatName val="0"/>
          <c:showSerName val="0"/>
          <c:showPercent val="0"/>
          <c:showBubbleSize val="0"/>
        </c:dLbls>
        <c:gapWidth val="150"/>
        <c:axId val="473386216"/>
        <c:axId val="473387000"/>
      </c:barChart>
      <c:catAx>
        <c:axId val="473386216"/>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473387000"/>
        <c:crosses val="autoZero"/>
        <c:auto val="1"/>
        <c:lblAlgn val="ctr"/>
        <c:lblOffset val="100"/>
        <c:noMultiLvlLbl val="0"/>
      </c:catAx>
      <c:valAx>
        <c:axId val="473387000"/>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Number of CHWs needed to carry out all activities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47338621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orientation="portrait"/>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445813269382294"/>
          <c:y val="2.341805276385436E-2"/>
          <c:w val="0.8934492239493681"/>
          <c:h val="0.77037979431398285"/>
        </c:manualLayout>
      </c:layout>
      <c:barChart>
        <c:barDir val="col"/>
        <c:grouping val="clustered"/>
        <c:varyColors val="0"/>
        <c:ser>
          <c:idx val="0"/>
          <c:order val="0"/>
          <c:tx>
            <c:strRef>
              <c:f>CHW_time_calcs_1!$B$87</c:f>
              <c:strCache>
                <c:ptCount val="1"/>
              </c:strCache>
            </c:strRef>
          </c:tx>
          <c:spPr>
            <a:solidFill>
              <a:schemeClr val="accent1"/>
            </a:solidFill>
            <a:ln>
              <a:noFill/>
            </a:ln>
            <a:effectLst/>
          </c:spPr>
          <c:invertIfNegative val="0"/>
          <c:dLbls>
            <c:dLbl>
              <c:idx val="1"/>
              <c:layout>
                <c:manualLayout>
                  <c:x val="2.4855748586647334E-3"/>
                  <c:y val="-2.399315533844164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B04-4049-BCDE-59A026A4F58E}"/>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accent1"/>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CHW_time_calcs_1!$C$86:$E$86</c:f>
              <c:numCache>
                <c:formatCode>0</c:formatCode>
                <c:ptCount val="3"/>
                <c:pt idx="0">
                  <c:v>0</c:v>
                </c:pt>
                <c:pt idx="1">
                  <c:v>0</c:v>
                </c:pt>
                <c:pt idx="2">
                  <c:v>0</c:v>
                </c:pt>
              </c:numCache>
            </c:numRef>
          </c:cat>
          <c:val>
            <c:numRef>
              <c:f>CHW_time_calcs_1!$C$87:$E$87</c:f>
              <c:numCache>
                <c:formatCode>0</c:formatCode>
                <c:ptCount val="3"/>
                <c:pt idx="0">
                  <c:v>0</c:v>
                </c:pt>
                <c:pt idx="1">
                  <c:v>0</c:v>
                </c:pt>
                <c:pt idx="2">
                  <c:v>0</c:v>
                </c:pt>
              </c:numCache>
            </c:numRef>
          </c:val>
          <c:extLst>
            <c:ext xmlns:c16="http://schemas.microsoft.com/office/drawing/2014/chart" uri="{C3380CC4-5D6E-409C-BE32-E72D297353CC}">
              <c16:uniqueId val="{00000000-DF96-4176-A978-6004FC7D4A33}"/>
            </c:ext>
          </c:extLst>
        </c:ser>
        <c:ser>
          <c:idx val="1"/>
          <c:order val="1"/>
          <c:tx>
            <c:strRef>
              <c:f>CHW_time_calcs_1!$B$88</c:f>
              <c:strCache>
                <c:ptCount val="1"/>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accent2"/>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CHW_time_calcs_1!$C$86:$E$86</c:f>
              <c:numCache>
                <c:formatCode>0</c:formatCode>
                <c:ptCount val="3"/>
                <c:pt idx="0">
                  <c:v>0</c:v>
                </c:pt>
                <c:pt idx="1">
                  <c:v>0</c:v>
                </c:pt>
                <c:pt idx="2">
                  <c:v>0</c:v>
                </c:pt>
              </c:numCache>
            </c:numRef>
          </c:cat>
          <c:val>
            <c:numRef>
              <c:f>CHW_time_calcs_1!$C$88:$E$88</c:f>
              <c:numCache>
                <c:formatCode>0</c:formatCode>
                <c:ptCount val="3"/>
                <c:pt idx="0">
                  <c:v>0</c:v>
                </c:pt>
                <c:pt idx="1">
                  <c:v>0</c:v>
                </c:pt>
                <c:pt idx="2">
                  <c:v>0</c:v>
                </c:pt>
              </c:numCache>
            </c:numRef>
          </c:val>
          <c:extLst>
            <c:ext xmlns:c16="http://schemas.microsoft.com/office/drawing/2014/chart" uri="{C3380CC4-5D6E-409C-BE32-E72D297353CC}">
              <c16:uniqueId val="{00000001-DF96-4176-A978-6004FC7D4A33}"/>
            </c:ext>
          </c:extLst>
        </c:ser>
        <c:ser>
          <c:idx val="2"/>
          <c:order val="2"/>
          <c:tx>
            <c:strRef>
              <c:f>CHW_time_calcs_1!$B$89</c:f>
              <c:strCache>
                <c:ptCount val="1"/>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CHW_time_calcs_1!$C$86:$E$86</c:f>
              <c:numCache>
                <c:formatCode>0</c:formatCode>
                <c:ptCount val="3"/>
                <c:pt idx="0">
                  <c:v>0</c:v>
                </c:pt>
                <c:pt idx="1">
                  <c:v>0</c:v>
                </c:pt>
                <c:pt idx="2">
                  <c:v>0</c:v>
                </c:pt>
              </c:numCache>
            </c:numRef>
          </c:cat>
          <c:val>
            <c:numRef>
              <c:f>CHW_time_calcs_1!$C$89:$E$89</c:f>
              <c:numCache>
                <c:formatCode>0</c:formatCode>
                <c:ptCount val="3"/>
                <c:pt idx="0">
                  <c:v>0</c:v>
                </c:pt>
                <c:pt idx="1">
                  <c:v>0</c:v>
                </c:pt>
                <c:pt idx="2">
                  <c:v>0</c:v>
                </c:pt>
              </c:numCache>
            </c:numRef>
          </c:val>
          <c:extLst>
            <c:ext xmlns:c16="http://schemas.microsoft.com/office/drawing/2014/chart" uri="{C3380CC4-5D6E-409C-BE32-E72D297353CC}">
              <c16:uniqueId val="{00000002-DF96-4176-A978-6004FC7D4A33}"/>
            </c:ext>
          </c:extLst>
        </c:ser>
        <c:ser>
          <c:idx val="3"/>
          <c:order val="3"/>
          <c:tx>
            <c:strRef>
              <c:f>CHW_time_calcs_1!$B$90</c:f>
              <c:strCache>
                <c:ptCount val="1"/>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CHW_time_calcs_1!$C$86:$E$86</c:f>
              <c:numCache>
                <c:formatCode>0</c:formatCode>
                <c:ptCount val="3"/>
                <c:pt idx="0">
                  <c:v>0</c:v>
                </c:pt>
                <c:pt idx="1">
                  <c:v>0</c:v>
                </c:pt>
                <c:pt idx="2">
                  <c:v>0</c:v>
                </c:pt>
              </c:numCache>
            </c:numRef>
          </c:cat>
          <c:val>
            <c:numRef>
              <c:f>CHW_time_calcs_1!$C$90:$E$90</c:f>
              <c:numCache>
                <c:formatCode>0</c:formatCode>
                <c:ptCount val="3"/>
                <c:pt idx="0">
                  <c:v>0</c:v>
                </c:pt>
                <c:pt idx="1">
                  <c:v>0</c:v>
                </c:pt>
                <c:pt idx="2">
                  <c:v>0</c:v>
                </c:pt>
              </c:numCache>
            </c:numRef>
          </c:val>
          <c:extLst>
            <c:ext xmlns:c16="http://schemas.microsoft.com/office/drawing/2014/chart" uri="{C3380CC4-5D6E-409C-BE32-E72D297353CC}">
              <c16:uniqueId val="{00000003-DF96-4176-A978-6004FC7D4A33}"/>
            </c:ext>
          </c:extLst>
        </c:ser>
        <c:ser>
          <c:idx val="4"/>
          <c:order val="4"/>
          <c:tx>
            <c:strRef>
              <c:f>CHW_time_calcs_1!$B$91</c:f>
              <c:strCache>
                <c:ptCount val="1"/>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CHW_time_calcs_1!$C$86:$E$86</c:f>
              <c:numCache>
                <c:formatCode>0</c:formatCode>
                <c:ptCount val="3"/>
                <c:pt idx="0">
                  <c:v>0</c:v>
                </c:pt>
                <c:pt idx="1">
                  <c:v>0</c:v>
                </c:pt>
                <c:pt idx="2">
                  <c:v>0</c:v>
                </c:pt>
              </c:numCache>
            </c:numRef>
          </c:cat>
          <c:val>
            <c:numRef>
              <c:f>CHW_time_calcs_1!$C$91:$E$91</c:f>
              <c:numCache>
                <c:formatCode>0</c:formatCode>
                <c:ptCount val="3"/>
                <c:pt idx="0">
                  <c:v>0</c:v>
                </c:pt>
                <c:pt idx="1">
                  <c:v>0</c:v>
                </c:pt>
                <c:pt idx="2">
                  <c:v>0</c:v>
                </c:pt>
              </c:numCache>
            </c:numRef>
          </c:val>
          <c:extLst>
            <c:ext xmlns:c16="http://schemas.microsoft.com/office/drawing/2014/chart" uri="{C3380CC4-5D6E-409C-BE32-E72D297353CC}">
              <c16:uniqueId val="{00000004-DF96-4176-A978-6004FC7D4A33}"/>
            </c:ext>
          </c:extLst>
        </c:ser>
        <c:ser>
          <c:idx val="5"/>
          <c:order val="5"/>
          <c:tx>
            <c:strRef>
              <c:f>CHW_time_calcs_1!$B$92</c:f>
              <c:strCache>
                <c:ptCount val="1"/>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CHW_time_calcs_1!$C$86:$E$86</c:f>
              <c:numCache>
                <c:formatCode>0</c:formatCode>
                <c:ptCount val="3"/>
                <c:pt idx="0">
                  <c:v>0</c:v>
                </c:pt>
                <c:pt idx="1">
                  <c:v>0</c:v>
                </c:pt>
                <c:pt idx="2">
                  <c:v>0</c:v>
                </c:pt>
              </c:numCache>
            </c:numRef>
          </c:cat>
          <c:val>
            <c:numRef>
              <c:f>CHW_time_calcs_1!$C$92:$E$92</c:f>
              <c:numCache>
                <c:formatCode>0</c:formatCode>
                <c:ptCount val="3"/>
                <c:pt idx="0">
                  <c:v>0</c:v>
                </c:pt>
                <c:pt idx="1">
                  <c:v>0</c:v>
                </c:pt>
                <c:pt idx="2">
                  <c:v>0</c:v>
                </c:pt>
              </c:numCache>
            </c:numRef>
          </c:val>
          <c:extLst>
            <c:ext xmlns:c16="http://schemas.microsoft.com/office/drawing/2014/chart" uri="{C3380CC4-5D6E-409C-BE32-E72D297353CC}">
              <c16:uniqueId val="{00000005-DF96-4176-A978-6004FC7D4A33}"/>
            </c:ext>
          </c:extLst>
        </c:ser>
        <c:dLbls>
          <c:showLegendKey val="0"/>
          <c:showVal val="0"/>
          <c:showCatName val="0"/>
          <c:showSerName val="0"/>
          <c:showPercent val="0"/>
          <c:showBubbleSize val="0"/>
        </c:dLbls>
        <c:gapWidth val="150"/>
        <c:axId val="473386608"/>
        <c:axId val="473387392"/>
      </c:barChart>
      <c:scatterChart>
        <c:scatterStyle val="lineMarker"/>
        <c:varyColors val="0"/>
        <c:ser>
          <c:idx val="6"/>
          <c:order val="6"/>
          <c:tx>
            <c:strRef>
              <c:f>CHW_time_calcs_1!$B$93</c:f>
              <c:strCache>
                <c:ptCount val="1"/>
                <c:pt idx="0">
                  <c:v>Reference point -- 100%</c:v>
                </c:pt>
              </c:strCache>
            </c:strRef>
          </c:tx>
          <c:spPr>
            <a:ln w="25400" cap="rnd">
              <a:noFill/>
              <a:round/>
            </a:ln>
            <a:effectLst/>
          </c:spPr>
          <c:marker>
            <c:symbol val="square"/>
            <c:size val="3"/>
            <c:spPr>
              <a:solidFill>
                <a:schemeClr val="accent1">
                  <a:lumMod val="60000"/>
                </a:schemeClr>
              </a:solidFill>
              <a:ln w="0">
                <a:solidFill>
                  <a:schemeClr val="accent1">
                    <a:lumMod val="60000"/>
                  </a:schemeClr>
                </a:solidFill>
                <a:miter lim="800000"/>
              </a:ln>
              <a:effectLst/>
            </c:spPr>
          </c:marker>
          <c:errBars>
            <c:errDir val="y"/>
            <c:errBarType val="both"/>
            <c:errValType val="fixedVal"/>
            <c:noEndCap val="0"/>
            <c:val val="1"/>
            <c:spPr>
              <a:noFill/>
              <a:ln w="9525" cap="flat" cmpd="sng" algn="ctr">
                <a:solidFill>
                  <a:schemeClr val="tx1">
                    <a:lumMod val="65000"/>
                    <a:lumOff val="35000"/>
                  </a:schemeClr>
                </a:solidFill>
                <a:round/>
              </a:ln>
              <a:effectLst/>
            </c:spPr>
          </c:errBars>
          <c:errBars>
            <c:errDir val="x"/>
            <c:errBarType val="both"/>
            <c:errValType val="fixedVal"/>
            <c:noEndCap val="1"/>
            <c:val val="0.5"/>
            <c:spPr>
              <a:noFill/>
              <a:ln w="25400" cap="flat" cmpd="sng" algn="ctr">
                <a:solidFill>
                  <a:schemeClr val="tx1">
                    <a:lumMod val="65000"/>
                    <a:lumOff val="35000"/>
                  </a:schemeClr>
                </a:solidFill>
                <a:round/>
              </a:ln>
              <a:effectLst/>
            </c:spPr>
          </c:errBars>
          <c:xVal>
            <c:numRef>
              <c:f>CHW_time_calcs_1!$C$86:$E$86</c:f>
              <c:numCache>
                <c:formatCode>0</c:formatCode>
                <c:ptCount val="3"/>
                <c:pt idx="0">
                  <c:v>0</c:v>
                </c:pt>
                <c:pt idx="1">
                  <c:v>0</c:v>
                </c:pt>
                <c:pt idx="2">
                  <c:v>0</c:v>
                </c:pt>
              </c:numCache>
            </c:numRef>
          </c:xVal>
          <c:yVal>
            <c:numRef>
              <c:f>CHW_time_calcs_1!$C$93:$E$93</c:f>
              <c:numCache>
                <c:formatCode>General</c:formatCode>
                <c:ptCount val="3"/>
                <c:pt idx="0">
                  <c:v>100</c:v>
                </c:pt>
                <c:pt idx="1">
                  <c:v>100</c:v>
                </c:pt>
                <c:pt idx="2">
                  <c:v>100</c:v>
                </c:pt>
              </c:numCache>
            </c:numRef>
          </c:yVal>
          <c:smooth val="0"/>
          <c:extLst>
            <c:ext xmlns:c16="http://schemas.microsoft.com/office/drawing/2014/chart" uri="{C3380CC4-5D6E-409C-BE32-E72D297353CC}">
              <c16:uniqueId val="{00000000-F9EB-43BB-8E14-30FD8682C240}"/>
            </c:ext>
          </c:extLst>
        </c:ser>
        <c:dLbls>
          <c:showLegendKey val="0"/>
          <c:showVal val="0"/>
          <c:showCatName val="0"/>
          <c:showSerName val="0"/>
          <c:showPercent val="0"/>
          <c:showBubbleSize val="0"/>
        </c:dLbls>
        <c:axId val="473386608"/>
        <c:axId val="473387392"/>
      </c:scatterChart>
      <c:catAx>
        <c:axId val="473386608"/>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crossAx val="473387392"/>
        <c:crosses val="autoZero"/>
        <c:auto val="1"/>
        <c:lblAlgn val="ctr"/>
        <c:lblOffset val="100"/>
        <c:noMultiLvlLbl val="0"/>
      </c:catAx>
      <c:valAx>
        <c:axId val="473387392"/>
        <c:scaling>
          <c:orientation val="minMax"/>
        </c:scaling>
        <c:delete val="0"/>
        <c:axPos val="l"/>
        <c:title>
          <c:tx>
            <c:rich>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r>
                  <a:rPr lang="en-US" sz="1200"/>
                  <a:t>Percent of</a:t>
                </a:r>
                <a:r>
                  <a:rPr lang="en-US" sz="1200" baseline="0"/>
                  <a:t> planned activities that can be carried out</a:t>
                </a:r>
                <a:endParaRPr lang="en-US" sz="1200"/>
              </a:p>
            </c:rich>
          </c:tx>
          <c:overlay val="0"/>
          <c:spPr>
            <a:noFill/>
            <a:ln>
              <a:noFill/>
            </a:ln>
            <a:effectLst/>
          </c:spPr>
          <c:txPr>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crossAx val="473386608"/>
        <c:crosses val="autoZero"/>
        <c:crossBetween val="between"/>
      </c:valAx>
      <c:spPr>
        <a:noFill/>
        <a:ln cap="sq">
          <a:solidFill>
            <a:schemeClr val="accent1">
              <a:lumMod val="60000"/>
            </a:schemeClr>
          </a:solidFill>
        </a:ln>
        <a:effectLst/>
      </c:spPr>
    </c:plotArea>
    <c:legend>
      <c:legendPos val="b"/>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'4. Policy Interactive Screen'!$P$47:$R$47</c:f>
              <c:strCache>
                <c:ptCount val="3"/>
                <c:pt idx="0">
                  <c:v>Service delivery</c:v>
                </c:pt>
              </c:strCache>
            </c:strRef>
          </c:tx>
          <c:spPr>
            <a:solidFill>
              <a:schemeClr val="accent1"/>
            </a:solidFill>
            <a:ln>
              <a:noFill/>
            </a:ln>
            <a:effectLst/>
          </c:spPr>
          <c:invertIfNegative val="0"/>
          <c:cat>
            <c:strRef>
              <c:extLst>
                <c:ext xmlns:c15="http://schemas.microsoft.com/office/drawing/2012/chart" uri="{02D57815-91ED-43cb-92C2-25804820EDAC}">
                  <c15:fullRef>
                    <c15:sqref>'4. Policy Interactive Screen'!$S$46:$W$46</c15:sqref>
                  </c15:fullRef>
                </c:ext>
              </c:extLst>
              <c:f>('4. Policy Interactive Screen'!$S$46,'4. Policy Interactive Screen'!$V$46)</c:f>
              <c:strCache>
                <c:ptCount val="2"/>
                <c:pt idx="0">
                  <c:v>Time needed (minutes)</c:v>
                </c:pt>
                <c:pt idx="1">
                  <c:v>Time available (minutes)</c:v>
                </c:pt>
              </c:strCache>
            </c:strRef>
          </c:cat>
          <c:val>
            <c:numRef>
              <c:extLst>
                <c:ext xmlns:c15="http://schemas.microsoft.com/office/drawing/2012/chart" uri="{02D57815-91ED-43cb-92C2-25804820EDAC}">
                  <c15:fullRef>
                    <c15:sqref>'4. Policy Interactive Screen'!$S$47:$W$47</c15:sqref>
                  </c15:fullRef>
                </c:ext>
              </c:extLst>
              <c:f>('4. Policy Interactive Screen'!$S$47,'4. Policy Interactive Screen'!$V$47)</c:f>
              <c:numCache>
                <c:formatCode>General</c:formatCode>
                <c:ptCount val="2"/>
                <c:pt idx="0" formatCode="#,##0">
                  <c:v>#N/A</c:v>
                </c:pt>
              </c:numCache>
            </c:numRef>
          </c:val>
          <c:extLst>
            <c:ext xmlns:c16="http://schemas.microsoft.com/office/drawing/2014/chart" uri="{C3380CC4-5D6E-409C-BE32-E72D297353CC}">
              <c16:uniqueId val="{00000000-DF74-4F8A-99D8-01D4E6A24629}"/>
            </c:ext>
          </c:extLst>
        </c:ser>
        <c:ser>
          <c:idx val="1"/>
          <c:order val="1"/>
          <c:tx>
            <c:strRef>
              <c:f>'4. Policy Interactive Screen'!$P$48:$R$48</c:f>
              <c:strCache>
                <c:ptCount val="3"/>
                <c:pt idx="0">
                  <c:v>Travel</c:v>
                </c:pt>
              </c:strCache>
            </c:strRef>
          </c:tx>
          <c:spPr>
            <a:solidFill>
              <a:schemeClr val="accent2"/>
            </a:solidFill>
            <a:ln>
              <a:noFill/>
            </a:ln>
            <a:effectLst/>
          </c:spPr>
          <c:invertIfNegative val="0"/>
          <c:cat>
            <c:strRef>
              <c:extLst>
                <c:ext xmlns:c15="http://schemas.microsoft.com/office/drawing/2012/chart" uri="{02D57815-91ED-43cb-92C2-25804820EDAC}">
                  <c15:fullRef>
                    <c15:sqref>'4. Policy Interactive Screen'!$S$46:$W$46</c15:sqref>
                  </c15:fullRef>
                </c:ext>
              </c:extLst>
              <c:f>('4. Policy Interactive Screen'!$S$46,'4. Policy Interactive Screen'!$V$46)</c:f>
              <c:strCache>
                <c:ptCount val="2"/>
                <c:pt idx="0">
                  <c:v>Time needed (minutes)</c:v>
                </c:pt>
                <c:pt idx="1">
                  <c:v>Time available (minutes)</c:v>
                </c:pt>
              </c:strCache>
            </c:strRef>
          </c:cat>
          <c:val>
            <c:numRef>
              <c:extLst>
                <c:ext xmlns:c15="http://schemas.microsoft.com/office/drawing/2012/chart" uri="{02D57815-91ED-43cb-92C2-25804820EDAC}">
                  <c15:fullRef>
                    <c15:sqref>'4. Policy Interactive Screen'!$S$48:$W$48</c15:sqref>
                  </c15:fullRef>
                </c:ext>
              </c:extLst>
              <c:f>('4. Policy Interactive Screen'!$S$48,'4. Policy Interactive Screen'!$V$48)</c:f>
              <c:numCache>
                <c:formatCode>General</c:formatCode>
                <c:ptCount val="2"/>
                <c:pt idx="0" formatCode="#,##0">
                  <c:v>#N/A</c:v>
                </c:pt>
              </c:numCache>
            </c:numRef>
          </c:val>
          <c:extLst>
            <c:ext xmlns:c16="http://schemas.microsoft.com/office/drawing/2014/chart" uri="{C3380CC4-5D6E-409C-BE32-E72D297353CC}">
              <c16:uniqueId val="{00000001-DF74-4F8A-99D8-01D4E6A24629}"/>
            </c:ext>
          </c:extLst>
        </c:ser>
        <c:ser>
          <c:idx val="2"/>
          <c:order val="2"/>
          <c:tx>
            <c:strRef>
              <c:f>'4. Policy Interactive Screen'!$P$49:$R$49</c:f>
              <c:strCache>
                <c:ptCount val="3"/>
                <c:pt idx="0">
                  <c:v>Administration</c:v>
                </c:pt>
              </c:strCache>
            </c:strRef>
          </c:tx>
          <c:spPr>
            <a:solidFill>
              <a:schemeClr val="accent3"/>
            </a:solidFill>
            <a:ln>
              <a:noFill/>
            </a:ln>
            <a:effectLst/>
          </c:spPr>
          <c:invertIfNegative val="0"/>
          <c:cat>
            <c:strRef>
              <c:extLst>
                <c:ext xmlns:c15="http://schemas.microsoft.com/office/drawing/2012/chart" uri="{02D57815-91ED-43cb-92C2-25804820EDAC}">
                  <c15:fullRef>
                    <c15:sqref>'4. Policy Interactive Screen'!$S$46:$W$46</c15:sqref>
                  </c15:fullRef>
                </c:ext>
              </c:extLst>
              <c:f>('4. Policy Interactive Screen'!$S$46,'4. Policy Interactive Screen'!$V$46)</c:f>
              <c:strCache>
                <c:ptCount val="2"/>
                <c:pt idx="0">
                  <c:v>Time needed (minutes)</c:v>
                </c:pt>
                <c:pt idx="1">
                  <c:v>Time available (minutes)</c:v>
                </c:pt>
              </c:strCache>
            </c:strRef>
          </c:cat>
          <c:val>
            <c:numRef>
              <c:extLst>
                <c:ext xmlns:c15="http://schemas.microsoft.com/office/drawing/2012/chart" uri="{02D57815-91ED-43cb-92C2-25804820EDAC}">
                  <c15:fullRef>
                    <c15:sqref>'4. Policy Interactive Screen'!$S$49:$W$49</c15:sqref>
                  </c15:fullRef>
                </c:ext>
              </c:extLst>
              <c:f>('4. Policy Interactive Screen'!$S$49,'4. Policy Interactive Screen'!$V$49)</c:f>
              <c:numCache>
                <c:formatCode>General</c:formatCode>
                <c:ptCount val="2"/>
                <c:pt idx="0" formatCode="#,##0">
                  <c:v>#N/A</c:v>
                </c:pt>
              </c:numCache>
            </c:numRef>
          </c:val>
          <c:extLst>
            <c:ext xmlns:c16="http://schemas.microsoft.com/office/drawing/2014/chart" uri="{C3380CC4-5D6E-409C-BE32-E72D297353CC}">
              <c16:uniqueId val="{00000002-DF74-4F8A-99D8-01D4E6A24629}"/>
            </c:ext>
          </c:extLst>
        </c:ser>
        <c:ser>
          <c:idx val="3"/>
          <c:order val="3"/>
          <c:tx>
            <c:strRef>
              <c:f>'4. Policy Interactive Screen'!$P$50:$R$50</c:f>
              <c:strCache>
                <c:ptCount val="3"/>
                <c:pt idx="0">
                  <c:v>Campaigns</c:v>
                </c:pt>
              </c:strCache>
            </c:strRef>
          </c:tx>
          <c:spPr>
            <a:solidFill>
              <a:schemeClr val="accent4"/>
            </a:solidFill>
            <a:ln>
              <a:noFill/>
            </a:ln>
            <a:effectLst/>
          </c:spPr>
          <c:invertIfNegative val="0"/>
          <c:cat>
            <c:strRef>
              <c:extLst>
                <c:ext xmlns:c15="http://schemas.microsoft.com/office/drawing/2012/chart" uri="{02D57815-91ED-43cb-92C2-25804820EDAC}">
                  <c15:fullRef>
                    <c15:sqref>'4. Policy Interactive Screen'!$S$46:$W$46</c15:sqref>
                  </c15:fullRef>
                </c:ext>
              </c:extLst>
              <c:f>('4. Policy Interactive Screen'!$S$46,'4. Policy Interactive Screen'!$V$46)</c:f>
              <c:strCache>
                <c:ptCount val="2"/>
                <c:pt idx="0">
                  <c:v>Time needed (minutes)</c:v>
                </c:pt>
                <c:pt idx="1">
                  <c:v>Time available (minutes)</c:v>
                </c:pt>
              </c:strCache>
            </c:strRef>
          </c:cat>
          <c:val>
            <c:numRef>
              <c:extLst>
                <c:ext xmlns:c15="http://schemas.microsoft.com/office/drawing/2012/chart" uri="{02D57815-91ED-43cb-92C2-25804820EDAC}">
                  <c15:fullRef>
                    <c15:sqref>'4. Policy Interactive Screen'!$S$50:$W$50</c15:sqref>
                  </c15:fullRef>
                </c:ext>
              </c:extLst>
              <c:f>('4. Policy Interactive Screen'!$S$50,'4. Policy Interactive Screen'!$V$50)</c:f>
              <c:numCache>
                <c:formatCode>General</c:formatCode>
                <c:ptCount val="2"/>
                <c:pt idx="0" formatCode="#,##0">
                  <c:v>#N/A</c:v>
                </c:pt>
              </c:numCache>
            </c:numRef>
          </c:val>
          <c:extLst>
            <c:ext xmlns:c16="http://schemas.microsoft.com/office/drawing/2014/chart" uri="{C3380CC4-5D6E-409C-BE32-E72D297353CC}">
              <c16:uniqueId val="{00000003-DF74-4F8A-99D8-01D4E6A24629}"/>
            </c:ext>
          </c:extLst>
        </c:ser>
        <c:ser>
          <c:idx val="4"/>
          <c:order val="4"/>
          <c:tx>
            <c:strRef>
              <c:f>'4. Policy Interactive Screen'!$P$51:$R$51</c:f>
              <c:strCache>
                <c:ptCount val="3"/>
                <c:pt idx="0">
                  <c:v>Training</c:v>
                </c:pt>
              </c:strCache>
            </c:strRef>
          </c:tx>
          <c:spPr>
            <a:solidFill>
              <a:schemeClr val="accent5"/>
            </a:solidFill>
            <a:ln>
              <a:noFill/>
            </a:ln>
            <a:effectLst/>
          </c:spPr>
          <c:invertIfNegative val="0"/>
          <c:cat>
            <c:strRef>
              <c:extLst>
                <c:ext xmlns:c15="http://schemas.microsoft.com/office/drawing/2012/chart" uri="{02D57815-91ED-43cb-92C2-25804820EDAC}">
                  <c15:fullRef>
                    <c15:sqref>'4. Policy Interactive Screen'!$S$46:$W$46</c15:sqref>
                  </c15:fullRef>
                </c:ext>
              </c:extLst>
              <c:f>('4. Policy Interactive Screen'!$S$46,'4. Policy Interactive Screen'!$V$46)</c:f>
              <c:strCache>
                <c:ptCount val="2"/>
                <c:pt idx="0">
                  <c:v>Time needed (minutes)</c:v>
                </c:pt>
                <c:pt idx="1">
                  <c:v>Time available (minutes)</c:v>
                </c:pt>
              </c:strCache>
            </c:strRef>
          </c:cat>
          <c:val>
            <c:numRef>
              <c:extLst>
                <c:ext xmlns:c15="http://schemas.microsoft.com/office/drawing/2012/chart" uri="{02D57815-91ED-43cb-92C2-25804820EDAC}">
                  <c15:fullRef>
                    <c15:sqref>'4. Policy Interactive Screen'!$S$51:$W$51</c15:sqref>
                  </c15:fullRef>
                </c:ext>
              </c:extLst>
              <c:f>('4. Policy Interactive Screen'!$S$51,'4. Policy Interactive Screen'!$V$51)</c:f>
              <c:numCache>
                <c:formatCode>General</c:formatCode>
                <c:ptCount val="2"/>
                <c:pt idx="0" formatCode="#,##0">
                  <c:v>#N/A</c:v>
                </c:pt>
              </c:numCache>
            </c:numRef>
          </c:val>
          <c:extLst>
            <c:ext xmlns:c16="http://schemas.microsoft.com/office/drawing/2014/chart" uri="{C3380CC4-5D6E-409C-BE32-E72D297353CC}">
              <c16:uniqueId val="{00000004-DF74-4F8A-99D8-01D4E6A24629}"/>
            </c:ext>
          </c:extLst>
        </c:ser>
        <c:ser>
          <c:idx val="5"/>
          <c:order val="5"/>
          <c:tx>
            <c:strRef>
              <c:f>'4. Policy Interactive Screen'!$P$52:$R$52</c:f>
              <c:strCache>
                <c:ptCount val="3"/>
                <c:pt idx="0">
                  <c:v>Other meetings</c:v>
                </c:pt>
              </c:strCache>
            </c:strRef>
          </c:tx>
          <c:spPr>
            <a:solidFill>
              <a:schemeClr val="accent6"/>
            </a:solidFill>
            <a:ln>
              <a:noFill/>
            </a:ln>
            <a:effectLst/>
          </c:spPr>
          <c:invertIfNegative val="0"/>
          <c:cat>
            <c:strRef>
              <c:extLst>
                <c:ext xmlns:c15="http://schemas.microsoft.com/office/drawing/2012/chart" uri="{02D57815-91ED-43cb-92C2-25804820EDAC}">
                  <c15:fullRef>
                    <c15:sqref>'4. Policy Interactive Screen'!$S$46:$W$46</c15:sqref>
                  </c15:fullRef>
                </c:ext>
              </c:extLst>
              <c:f>('4. Policy Interactive Screen'!$S$46,'4. Policy Interactive Screen'!$V$46)</c:f>
              <c:strCache>
                <c:ptCount val="2"/>
                <c:pt idx="0">
                  <c:v>Time needed (minutes)</c:v>
                </c:pt>
                <c:pt idx="1">
                  <c:v>Time available (minutes)</c:v>
                </c:pt>
              </c:strCache>
            </c:strRef>
          </c:cat>
          <c:val>
            <c:numRef>
              <c:extLst>
                <c:ext xmlns:c15="http://schemas.microsoft.com/office/drawing/2012/chart" uri="{02D57815-91ED-43cb-92C2-25804820EDAC}">
                  <c15:fullRef>
                    <c15:sqref>'4. Policy Interactive Screen'!$S$52:$W$52</c15:sqref>
                  </c15:fullRef>
                </c:ext>
              </c:extLst>
              <c:f>('4. Policy Interactive Screen'!$S$52,'4. Policy Interactive Screen'!$V$52)</c:f>
              <c:numCache>
                <c:formatCode>General</c:formatCode>
                <c:ptCount val="2"/>
                <c:pt idx="0" formatCode="#,##0">
                  <c:v>#N/A</c:v>
                </c:pt>
              </c:numCache>
            </c:numRef>
          </c:val>
          <c:extLst>
            <c:ext xmlns:c16="http://schemas.microsoft.com/office/drawing/2014/chart" uri="{C3380CC4-5D6E-409C-BE32-E72D297353CC}">
              <c16:uniqueId val="{00000005-DF74-4F8A-99D8-01D4E6A24629}"/>
            </c:ext>
          </c:extLst>
        </c:ser>
        <c:ser>
          <c:idx val="6"/>
          <c:order val="6"/>
          <c:tx>
            <c:strRef>
              <c:f>'4. Policy Interactive Screen'!$P$53:$R$53</c:f>
              <c:strCache>
                <c:ptCount val="3"/>
                <c:pt idx="0">
                  <c:v>Total</c:v>
                </c:pt>
              </c:strCache>
            </c:strRef>
          </c:tx>
          <c:spPr>
            <a:solidFill>
              <a:schemeClr val="accent1">
                <a:lumMod val="60000"/>
              </a:schemeClr>
            </a:solidFill>
            <a:ln>
              <a:noFill/>
            </a:ln>
            <a:effectLst/>
          </c:spPr>
          <c:invertIfNegative val="0"/>
          <c:cat>
            <c:strRef>
              <c:extLst>
                <c:ext xmlns:c15="http://schemas.microsoft.com/office/drawing/2012/chart" uri="{02D57815-91ED-43cb-92C2-25804820EDAC}">
                  <c15:fullRef>
                    <c15:sqref>'4. Policy Interactive Screen'!$S$46:$W$46</c15:sqref>
                  </c15:fullRef>
                </c:ext>
              </c:extLst>
              <c:f>('4. Policy Interactive Screen'!$S$46,'4. Policy Interactive Screen'!$V$46)</c:f>
              <c:strCache>
                <c:ptCount val="2"/>
                <c:pt idx="0">
                  <c:v>Time needed (minutes)</c:v>
                </c:pt>
                <c:pt idx="1">
                  <c:v>Time available (minutes)</c:v>
                </c:pt>
              </c:strCache>
            </c:strRef>
          </c:cat>
          <c:val>
            <c:numRef>
              <c:extLst>
                <c:ext xmlns:c15="http://schemas.microsoft.com/office/drawing/2012/chart" uri="{02D57815-91ED-43cb-92C2-25804820EDAC}">
                  <c15:fullRef>
                    <c15:sqref>'4. Policy Interactive Screen'!$S$53:$W$53</c15:sqref>
                  </c15:fullRef>
                </c:ext>
              </c:extLst>
              <c:f>('4. Policy Interactive Screen'!$S$53,'4. Policy Interactive Screen'!$V$53)</c:f>
              <c:numCache>
                <c:formatCode>General</c:formatCode>
                <c:ptCount val="2"/>
                <c:pt idx="1" formatCode="#,##0">
                  <c:v>#N/A</c:v>
                </c:pt>
              </c:numCache>
            </c:numRef>
          </c:val>
          <c:extLst>
            <c:ext xmlns:c16="http://schemas.microsoft.com/office/drawing/2014/chart" uri="{C3380CC4-5D6E-409C-BE32-E72D297353CC}">
              <c16:uniqueId val="{00000006-DF74-4F8A-99D8-01D4E6A24629}"/>
            </c:ext>
          </c:extLst>
        </c:ser>
        <c:dLbls>
          <c:showLegendKey val="0"/>
          <c:showVal val="0"/>
          <c:showCatName val="0"/>
          <c:showSerName val="0"/>
          <c:showPercent val="0"/>
          <c:showBubbleSize val="0"/>
        </c:dLbls>
        <c:gapWidth val="150"/>
        <c:overlap val="100"/>
        <c:axId val="473391312"/>
        <c:axId val="473388176"/>
      </c:barChart>
      <c:catAx>
        <c:axId val="4733913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3388176"/>
        <c:crosses val="autoZero"/>
        <c:auto val="1"/>
        <c:lblAlgn val="ctr"/>
        <c:lblOffset val="100"/>
        <c:noMultiLvlLbl val="0"/>
      </c:catAx>
      <c:valAx>
        <c:axId val="47338817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339131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18</xdr:col>
      <xdr:colOff>128494</xdr:colOff>
      <xdr:row>49</xdr:row>
      <xdr:rowOff>127000</xdr:rowOff>
    </xdr:to>
    <xdr:pic>
      <xdr:nvPicPr>
        <xdr:cNvPr id="4" name="Picture 3">
          <a:extLst>
            <a:ext uri="{FF2B5EF4-FFF2-40B4-BE49-F238E27FC236}">
              <a16:creationId xmlns:a16="http://schemas.microsoft.com/office/drawing/2014/main" id="{415DA4A3-918E-CB40-B3CA-5F78CFF12F2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2244294" cy="94615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24</xdr:col>
      <xdr:colOff>28031</xdr:colOff>
      <xdr:row>26</xdr:row>
      <xdr:rowOff>10070</xdr:rowOff>
    </xdr:from>
    <xdr:to>
      <xdr:col>31</xdr:col>
      <xdr:colOff>654843</xdr:colOff>
      <xdr:row>41</xdr:row>
      <xdr:rowOff>152401</xdr:rowOff>
    </xdr:to>
    <xdr:graphicFrame macro="">
      <xdr:nvGraphicFramePr>
        <xdr:cNvPr id="4" name="Chart 3">
          <a:extLst>
            <a:ext uri="{FF2B5EF4-FFF2-40B4-BE49-F238E27FC236}">
              <a16:creationId xmlns:a16="http://schemas.microsoft.com/office/drawing/2014/main" id="{00000000-0008-0000-06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141855</xdr:colOff>
      <xdr:row>4</xdr:row>
      <xdr:rowOff>163422</xdr:rowOff>
    </xdr:from>
    <xdr:to>
      <xdr:col>24</xdr:col>
      <xdr:colOff>2725</xdr:colOff>
      <xdr:row>19</xdr:row>
      <xdr:rowOff>35718</xdr:rowOff>
    </xdr:to>
    <xdr:graphicFrame macro="">
      <xdr:nvGraphicFramePr>
        <xdr:cNvPr id="2" name="Chart 1">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32</xdr:col>
      <xdr:colOff>43542</xdr:colOff>
      <xdr:row>4</xdr:row>
      <xdr:rowOff>32657</xdr:rowOff>
    </xdr:from>
    <xdr:to>
      <xdr:col>40</xdr:col>
      <xdr:colOff>10885</xdr:colOff>
      <xdr:row>19</xdr:row>
      <xdr:rowOff>78106</xdr:rowOff>
    </xdr:to>
    <xdr:graphicFrame macro="">
      <xdr:nvGraphicFramePr>
        <xdr:cNvPr id="5" name="Chart 4">
          <a:extLst>
            <a:ext uri="{FF2B5EF4-FFF2-40B4-BE49-F238E27FC236}">
              <a16:creationId xmlns:a16="http://schemas.microsoft.com/office/drawing/2014/main" id="{00000000-0008-0000-06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24</xdr:col>
      <xdr:colOff>54429</xdr:colOff>
      <xdr:row>4</xdr:row>
      <xdr:rowOff>152400</xdr:rowOff>
    </xdr:from>
    <xdr:to>
      <xdr:col>32</xdr:col>
      <xdr:colOff>10886</xdr:colOff>
      <xdr:row>19</xdr:row>
      <xdr:rowOff>43541</xdr:rowOff>
    </xdr:to>
    <xdr:graphicFrame macro="">
      <xdr:nvGraphicFramePr>
        <xdr:cNvPr id="6" name="Chart 5">
          <a:extLst>
            <a:ext uri="{FF2B5EF4-FFF2-40B4-BE49-F238E27FC236}">
              <a16:creationId xmlns:a16="http://schemas.microsoft.com/office/drawing/2014/main" id="{00000000-0008-0000-06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97427</xdr:colOff>
      <xdr:row>44</xdr:row>
      <xdr:rowOff>76200</xdr:rowOff>
    </xdr:from>
    <xdr:to>
      <xdr:col>32</xdr:col>
      <xdr:colOff>35719</xdr:colOff>
      <xdr:row>61</xdr:row>
      <xdr:rowOff>71437</xdr:rowOff>
    </xdr:to>
    <xdr:graphicFrame macro="">
      <xdr:nvGraphicFramePr>
        <xdr:cNvPr id="3" name="Chart 2">
          <a:extLst>
            <a:ext uri="{FF2B5EF4-FFF2-40B4-BE49-F238E27FC236}">
              <a16:creationId xmlns:a16="http://schemas.microsoft.com/office/drawing/2014/main" id="{5142DBB0-5A1A-4112-8CBA-23BAAD13F68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2286000</xdr:colOff>
      <xdr:row>3</xdr:row>
      <xdr:rowOff>68580</xdr:rowOff>
    </xdr:from>
    <xdr:to>
      <xdr:col>3</xdr:col>
      <xdr:colOff>210820</xdr:colOff>
      <xdr:row>5</xdr:row>
      <xdr:rowOff>176530</xdr:rowOff>
    </xdr:to>
    <xdr:pic>
      <xdr:nvPicPr>
        <xdr:cNvPr id="2" name="Picture 1">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19500" y="617220"/>
          <a:ext cx="1010920" cy="4737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my.mcsprogram.org/personal/31847_icf_com/Documents/Documents/MCSP/C3%20Tool/Rwanda/Rwanda%20C3%20-%20July%202019/Tool%20modeling/C3%20Rwanda%20(rural)%202018%2002%202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Program_Data"/>
      <sheetName val="CHW_Categories"/>
      <sheetName val="Package"/>
      <sheetName val="Policy screen"/>
      <sheetName val="Interview consolidation"/>
      <sheetName val="CHW time (calcs 1)"/>
      <sheetName val="Summary_CHW"/>
      <sheetName val="LSTMH eval incl DHS data"/>
      <sheetName val="culling of intrvw consolidation"/>
      <sheetName val="DHS analysis"/>
      <sheetName val="Country factsheets Rwanda 2016"/>
      <sheetName val="Summary_Tables"/>
      <sheetName val="CHW drop downs"/>
      <sheetName val="Program_Scale-up"/>
      <sheetName val="Coverage"/>
      <sheetName val="CHW_Numbers"/>
      <sheetName val="CHW_Time"/>
      <sheetName val="Summary_CHW_Time"/>
      <sheetName val="Graphs"/>
      <sheetName val="Annex1. Illustrative Package"/>
      <sheetName val="Annex2. Country_Database"/>
      <sheetName val="Annex3. Population_Database"/>
      <sheetName val="Demography"/>
      <sheetName val="STG_Summary"/>
      <sheetName val="Service_Numbers"/>
      <sheetName val="Summary_Program"/>
    </sheetNames>
    <sheetDataSet>
      <sheetData sheetId="0" refreshError="1"/>
      <sheetData sheetId="1">
        <row r="3">
          <cell r="D3" t="str">
            <v>Rwanda</v>
          </cell>
        </row>
        <row r="4">
          <cell r="Z4">
            <v>3</v>
          </cell>
        </row>
        <row r="5">
          <cell r="D5">
            <v>2018</v>
          </cell>
          <cell r="Z5" t="str">
            <v>N</v>
          </cell>
        </row>
        <row r="7">
          <cell r="D7">
            <v>33145</v>
          </cell>
        </row>
        <row r="8">
          <cell r="D8">
            <v>0</v>
          </cell>
        </row>
        <row r="14">
          <cell r="D14">
            <v>5</v>
          </cell>
        </row>
        <row r="18">
          <cell r="D18" t="str">
            <v>N</v>
          </cell>
        </row>
        <row r="19">
          <cell r="D19" t="str">
            <v>Example</v>
          </cell>
        </row>
        <row r="20">
          <cell r="D20">
            <v>558942</v>
          </cell>
        </row>
        <row r="22">
          <cell r="D22" t="str">
            <v>N</v>
          </cell>
        </row>
        <row r="31">
          <cell r="D31">
            <v>1</v>
          </cell>
        </row>
        <row r="33">
          <cell r="D33">
            <v>1</v>
          </cell>
        </row>
        <row r="35">
          <cell r="D35">
            <v>4.5999999999999996</v>
          </cell>
        </row>
        <row r="39">
          <cell r="C39" t="str">
            <v>All Community Health Programs</v>
          </cell>
        </row>
        <row r="40">
          <cell r="C40" t="str">
            <v>Community Based Provision of family planning</v>
          </cell>
        </row>
        <row r="41">
          <cell r="C41" t="str">
            <v>Behaviour Change Communication</v>
          </cell>
        </row>
        <row r="42">
          <cell r="C42" t="str">
            <v>DOT for TB</v>
          </cell>
        </row>
        <row r="43">
          <cell r="C43" t="str">
            <v>bill's special programme</v>
          </cell>
        </row>
        <row r="44">
          <cell r="C44" t="str">
            <v>Community Mother and Newborn Health Package</v>
          </cell>
        </row>
        <row r="45">
          <cell r="C45" t="str">
            <v>Integrated community case management</v>
          </cell>
        </row>
        <row r="46">
          <cell r="C46" t="str">
            <v>Non-Communicable Diseases and HIV</v>
          </cell>
        </row>
        <row r="47">
          <cell r="C47" t="str">
            <v>HIS reporting and audit</v>
          </cell>
        </row>
        <row r="48">
          <cell r="C48" t="str">
            <v>Reproductive Health Package</v>
          </cell>
        </row>
        <row r="49">
          <cell r="C49" t="str">
            <v>Community Based Nutrition Program</v>
          </cell>
        </row>
      </sheetData>
      <sheetData sheetId="2">
        <row r="4">
          <cell r="C4" t="str">
            <v>CHW per Population</v>
          </cell>
        </row>
        <row r="9">
          <cell r="F9" t="str">
            <v>ASM</v>
          </cell>
        </row>
        <row r="21">
          <cell r="F21" t="str">
            <v>Binome</v>
          </cell>
        </row>
      </sheetData>
      <sheetData sheetId="3">
        <row r="6">
          <cell r="B6" t="str">
            <v>Male condom distribution (ASM)</v>
          </cell>
          <cell r="C6" t="str">
            <v>Community Based Provision of family planning</v>
          </cell>
          <cell r="D6" t="str">
            <v>Female Rep Age</v>
          </cell>
          <cell r="F6" t="str">
            <v>All areas</v>
          </cell>
          <cell r="G6">
            <v>2.1000000000000001E-2</v>
          </cell>
          <cell r="H6">
            <v>12</v>
          </cell>
          <cell r="I6">
            <v>30</v>
          </cell>
          <cell r="J6" t="str">
            <v>ASM</v>
          </cell>
          <cell r="K6" t="str">
            <v>ASM</v>
          </cell>
          <cell r="L6" t="str">
            <v>ASM</v>
          </cell>
          <cell r="M6" t="str">
            <v>Binome</v>
          </cell>
          <cell r="N6" t="str">
            <v>PIN: DHS Avenir tabulation (percent of women using FP method); one visit per month assumption</v>
          </cell>
        </row>
        <row r="7">
          <cell r="B7" t="str">
            <v>Male condom distribution (Binome)</v>
          </cell>
          <cell r="C7" t="str">
            <v>Community Based Provision of family planning</v>
          </cell>
          <cell r="D7" t="str">
            <v>Female Rep Age</v>
          </cell>
          <cell r="F7" t="str">
            <v>All areas</v>
          </cell>
          <cell r="G7">
            <v>2.1000000000000001E-2</v>
          </cell>
          <cell r="H7">
            <v>12</v>
          </cell>
          <cell r="I7">
            <v>30</v>
          </cell>
          <cell r="J7" t="str">
            <v>Binome</v>
          </cell>
          <cell r="K7" t="str">
            <v>Binome</v>
          </cell>
          <cell r="L7" t="str">
            <v>Binome</v>
          </cell>
          <cell r="M7" t="str">
            <v>ASM</v>
          </cell>
          <cell r="N7" t="str">
            <v>PIN: DHS Avenir tabulation (percent of women using FP method); one visit per month assumption</v>
          </cell>
        </row>
        <row r="8">
          <cell r="B8" t="str">
            <v>Oral Contraceptives (ASM)</v>
          </cell>
          <cell r="C8" t="str">
            <v>Community Based Provision of family planning</v>
          </cell>
          <cell r="D8" t="str">
            <v>Female Rep Age</v>
          </cell>
          <cell r="F8" t="str">
            <v>All areas</v>
          </cell>
          <cell r="G8">
            <v>4.6100000000000002E-2</v>
          </cell>
          <cell r="H8">
            <v>6</v>
          </cell>
          <cell r="I8">
            <v>20</v>
          </cell>
          <cell r="J8" t="str">
            <v>ASM</v>
          </cell>
          <cell r="K8" t="str">
            <v>ASM</v>
          </cell>
          <cell r="L8" t="str">
            <v>ASM</v>
          </cell>
          <cell r="M8" t="str">
            <v>Binome</v>
          </cell>
          <cell r="N8" t="str">
            <v>PIN: DHS Avenir tabulation (percent of women using FP method); 2 packets per visit</v>
          </cell>
        </row>
        <row r="9">
          <cell r="B9" t="str">
            <v>Oral Contraceptives (Binome)</v>
          </cell>
          <cell r="C9" t="str">
            <v>Community Based Provision of family planning</v>
          </cell>
          <cell r="D9" t="str">
            <v>Female Rep Age</v>
          </cell>
          <cell r="F9" t="str">
            <v>All areas</v>
          </cell>
          <cell r="G9">
            <v>4.6100000000000002E-2</v>
          </cell>
          <cell r="H9">
            <v>6</v>
          </cell>
          <cell r="I9">
            <v>20</v>
          </cell>
          <cell r="J9" t="str">
            <v>Binome</v>
          </cell>
          <cell r="K9" t="str">
            <v>Binome</v>
          </cell>
          <cell r="L9" t="str">
            <v>Binome</v>
          </cell>
          <cell r="M9" t="str">
            <v>Binome</v>
          </cell>
          <cell r="N9" t="str">
            <v>PIN: DHS Avenir tabulation (percent of women using FP method); 2 packets per visit</v>
          </cell>
        </row>
        <row r="10">
          <cell r="B10" t="str">
            <v>Depo Provera Injections (ASM)</v>
          </cell>
          <cell r="C10" t="str">
            <v>Community Based Provision of family planning</v>
          </cell>
          <cell r="D10" t="str">
            <v>Female Rep Age</v>
          </cell>
          <cell r="F10" t="str">
            <v>All areas</v>
          </cell>
          <cell r="G10">
            <v>0.15179999999999999</v>
          </cell>
          <cell r="H10">
            <v>4</v>
          </cell>
          <cell r="I10">
            <v>35</v>
          </cell>
          <cell r="J10" t="str">
            <v>ASM</v>
          </cell>
          <cell r="K10" t="str">
            <v>ASM</v>
          </cell>
          <cell r="L10" t="str">
            <v>ASM</v>
          </cell>
          <cell r="M10" t="str">
            <v>Binome</v>
          </cell>
          <cell r="N10" t="str">
            <v xml:space="preserve">PIN: DHS Avenir tabulation (percent of women using FP method); a visit every 3 months </v>
          </cell>
        </row>
        <row r="11">
          <cell r="B11" t="str">
            <v>Depo Provera Injections (Binome)</v>
          </cell>
          <cell r="C11" t="str">
            <v>Community Based Provision of family planning</v>
          </cell>
          <cell r="D11" t="str">
            <v>Female Rep Age</v>
          </cell>
          <cell r="F11" t="str">
            <v>All areas</v>
          </cell>
          <cell r="G11">
            <v>0.15179999999999999</v>
          </cell>
          <cell r="H11">
            <v>4</v>
          </cell>
          <cell r="I11">
            <v>35</v>
          </cell>
          <cell r="J11" t="str">
            <v>Binome</v>
          </cell>
          <cell r="K11" t="str">
            <v>Binome</v>
          </cell>
          <cell r="L11" t="str">
            <v>Binome</v>
          </cell>
          <cell r="M11" t="str">
            <v>ASM</v>
          </cell>
          <cell r="N11" t="str">
            <v xml:space="preserve">PIN: DHS Avenir tabulation (percent of women using FP method); a visit every 3 months </v>
          </cell>
        </row>
        <row r="12">
          <cell r="B12" t="str">
            <v>Cycle bead (ASM)</v>
          </cell>
          <cell r="C12" t="str">
            <v>Community Based Provision of family planning</v>
          </cell>
          <cell r="D12" t="str">
            <v>Female Rep Age</v>
          </cell>
          <cell r="F12" t="str">
            <v>All areas</v>
          </cell>
          <cell r="G12">
            <v>3.5999999999999999E-3</v>
          </cell>
          <cell r="H12">
            <v>1</v>
          </cell>
          <cell r="I12">
            <v>20</v>
          </cell>
          <cell r="J12" t="str">
            <v>ASM</v>
          </cell>
          <cell r="K12" t="str">
            <v>ASM</v>
          </cell>
          <cell r="L12" t="str">
            <v>ASM</v>
          </cell>
          <cell r="M12" t="str">
            <v>Binome</v>
          </cell>
          <cell r="N12" t="str">
            <v>PIN: DHS Avenir tabulation (percent of women using FP method); one acceptance visit</v>
          </cell>
        </row>
        <row r="13">
          <cell r="B13" t="str">
            <v>Cycle bead (Binome)</v>
          </cell>
          <cell r="C13" t="str">
            <v>Community Based Provision of family planning</v>
          </cell>
          <cell r="D13" t="str">
            <v>Female Rep Age</v>
          </cell>
          <cell r="F13" t="str">
            <v>All areas</v>
          </cell>
          <cell r="G13">
            <v>3.5999999999999999E-3</v>
          </cell>
          <cell r="H13">
            <v>1</v>
          </cell>
          <cell r="I13">
            <v>20</v>
          </cell>
          <cell r="J13" t="str">
            <v>Binome</v>
          </cell>
          <cell r="K13" t="str">
            <v>Binome</v>
          </cell>
          <cell r="L13" t="str">
            <v>Binome</v>
          </cell>
          <cell r="M13" t="str">
            <v>ASM</v>
          </cell>
          <cell r="N13" t="str">
            <v>PIN: DHS Avenir tabulation (percent of women using FP method); one acceptance visit</v>
          </cell>
        </row>
        <row r="14">
          <cell r="B14" t="str">
            <v>Family Planning Counseling (ASM)</v>
          </cell>
          <cell r="C14" t="str">
            <v>Community Based Provision of family planning</v>
          </cell>
          <cell r="D14" t="str">
            <v>Female Rep Age</v>
          </cell>
          <cell r="F14" t="str">
            <v>All areas</v>
          </cell>
          <cell r="G14">
            <v>0.69099999999999995</v>
          </cell>
          <cell r="H14">
            <v>1</v>
          </cell>
          <cell r="I14">
            <v>40</v>
          </cell>
          <cell r="J14" t="str">
            <v>ASM</v>
          </cell>
          <cell r="K14" t="str">
            <v>ASM</v>
          </cell>
          <cell r="L14" t="str">
            <v>ASM</v>
          </cell>
          <cell r="M14" t="str">
            <v>ASM</v>
          </cell>
          <cell r="N14" t="str">
            <v>PIN: women not using modern FP corrected for marriage rate (RDHS 2014-15)</v>
          </cell>
        </row>
        <row r="15">
          <cell r="B15" t="str">
            <v>Family Planning Counseling (Binome)</v>
          </cell>
          <cell r="C15" t="str">
            <v>Community Based Provision of family planning</v>
          </cell>
          <cell r="D15" t="str">
            <v>Female Rep Age</v>
          </cell>
          <cell r="F15" t="str">
            <v>All areas</v>
          </cell>
          <cell r="G15">
            <v>0.69099999999999995</v>
          </cell>
          <cell r="H15">
            <v>1</v>
          </cell>
          <cell r="I15">
            <v>40</v>
          </cell>
          <cell r="J15" t="str">
            <v>Binome</v>
          </cell>
          <cell r="K15" t="str">
            <v>Binome</v>
          </cell>
          <cell r="L15" t="str">
            <v>Binome</v>
          </cell>
          <cell r="M15" t="str">
            <v>ASM</v>
          </cell>
          <cell r="N15" t="str">
            <v>PIN: women not using modern FP corrected for marriage rate (RDHS 2014-15)</v>
          </cell>
        </row>
        <row r="16">
          <cell r="B16" t="str">
            <v>Postpartum family planning counseling</v>
          </cell>
          <cell r="C16" t="str">
            <v>Community Based Provision of family planning</v>
          </cell>
          <cell r="D16" t="str">
            <v>Postpartum Women</v>
          </cell>
          <cell r="F16" t="str">
            <v>All areas</v>
          </cell>
          <cell r="G16">
            <v>0</v>
          </cell>
          <cell r="H16">
            <v>1</v>
          </cell>
          <cell r="I16">
            <v>45</v>
          </cell>
          <cell r="J16" t="str">
            <v>ASM</v>
          </cell>
          <cell r="K16" t="str">
            <v>ASM</v>
          </cell>
          <cell r="L16" t="str">
            <v>ASM</v>
          </cell>
          <cell r="M16" t="str">
            <v>ASM</v>
          </cell>
          <cell r="N16" t="str">
            <v>Duplicative: Part of ANC and PNC, therefore zero PIN to avoid double counting</v>
          </cell>
        </row>
        <row r="17">
          <cell r="F17" t="str">
            <v>All areas</v>
          </cell>
        </row>
        <row r="18">
          <cell r="F18" t="str">
            <v>All areas</v>
          </cell>
        </row>
        <row r="19">
          <cell r="B19" t="str">
            <v>ANC Visit 1</v>
          </cell>
          <cell r="C19" t="str">
            <v>Community Mother and Newborn Health Package</v>
          </cell>
          <cell r="D19" t="str">
            <v>Pregnant Women</v>
          </cell>
          <cell r="F19" t="str">
            <v>All areas</v>
          </cell>
          <cell r="G19">
            <v>1</v>
          </cell>
          <cell r="H19">
            <v>1</v>
          </cell>
          <cell r="I19">
            <v>30</v>
          </cell>
          <cell r="J19" t="str">
            <v>ASM</v>
          </cell>
          <cell r="K19" t="str">
            <v>ASM</v>
          </cell>
          <cell r="L19" t="str">
            <v>ASM</v>
          </cell>
          <cell r="M19" t="str">
            <v>ASM</v>
          </cell>
        </row>
        <row r="20">
          <cell r="B20" t="str">
            <v>ANC Visit 2</v>
          </cell>
          <cell r="C20" t="str">
            <v>Community Mother and Newborn Health Package</v>
          </cell>
          <cell r="D20" t="str">
            <v>Pregnant Women</v>
          </cell>
          <cell r="F20" t="str">
            <v>All areas</v>
          </cell>
          <cell r="G20">
            <v>1</v>
          </cell>
          <cell r="H20">
            <v>1</v>
          </cell>
          <cell r="I20">
            <v>50</v>
          </cell>
          <cell r="J20" t="str">
            <v>ASM</v>
          </cell>
          <cell r="K20" t="str">
            <v>ASM</v>
          </cell>
          <cell r="L20" t="str">
            <v>ASM</v>
          </cell>
          <cell r="M20" t="str">
            <v>ASM</v>
          </cell>
        </row>
        <row r="21">
          <cell r="B21" t="str">
            <v>ANC Visit 3</v>
          </cell>
          <cell r="C21" t="str">
            <v>Community Mother and Newborn Health Package</v>
          </cell>
          <cell r="D21" t="str">
            <v>Pregnant Women</v>
          </cell>
          <cell r="F21" t="str">
            <v>All areas</v>
          </cell>
          <cell r="G21">
            <v>1</v>
          </cell>
          <cell r="H21">
            <v>1</v>
          </cell>
          <cell r="I21">
            <v>45</v>
          </cell>
          <cell r="J21" t="str">
            <v>ASM</v>
          </cell>
          <cell r="K21" t="str">
            <v>ASM</v>
          </cell>
          <cell r="L21" t="str">
            <v>ASM</v>
          </cell>
          <cell r="M21" t="str">
            <v>ASM</v>
          </cell>
        </row>
        <row r="22">
          <cell r="B22" t="str">
            <v>Delivery assistance (accompaniment)</v>
          </cell>
          <cell r="C22" t="str">
            <v>Community Mother and Newborn Health Package</v>
          </cell>
          <cell r="D22" t="str">
            <v>Pregnant Women</v>
          </cell>
          <cell r="F22" t="str">
            <v>All areas</v>
          </cell>
          <cell r="G22">
            <v>0.91100000000000003</v>
          </cell>
          <cell r="H22">
            <v>1</v>
          </cell>
          <cell r="I22">
            <v>120</v>
          </cell>
          <cell r="J22" t="str">
            <v>ASM</v>
          </cell>
          <cell r="K22" t="str">
            <v>ASM</v>
          </cell>
          <cell r="L22" t="str">
            <v>ASM</v>
          </cell>
          <cell r="M22" t="str">
            <v>ASM</v>
          </cell>
          <cell r="N22" t="str">
            <v>PIN: Facility based deliveries: DHS final report</v>
          </cell>
        </row>
        <row r="23">
          <cell r="B23" t="str">
            <v>Misoprostol for home delivery</v>
          </cell>
          <cell r="C23" t="str">
            <v>Community Mother and Newborn Health Package</v>
          </cell>
          <cell r="D23" t="str">
            <v>Newborns</v>
          </cell>
          <cell r="F23" t="str">
            <v>All areas</v>
          </cell>
          <cell r="G23">
            <v>8.8999999999999996E-2</v>
          </cell>
          <cell r="H23">
            <v>1</v>
          </cell>
          <cell r="I23">
            <v>15</v>
          </cell>
          <cell r="J23" t="str">
            <v>ASM</v>
          </cell>
          <cell r="K23" t="str">
            <v>ASM</v>
          </cell>
          <cell r="L23" t="str">
            <v>ASM</v>
          </cell>
          <cell r="M23" t="str">
            <v>Binome</v>
          </cell>
          <cell r="N23" t="str">
            <v>PIN: Home deliveries: DHS final report</v>
          </cell>
        </row>
        <row r="24">
          <cell r="B24" t="str">
            <v>PNC Visit 1 (normal weight)</v>
          </cell>
          <cell r="C24" t="str">
            <v>Community Mother and Newborn Health Package</v>
          </cell>
          <cell r="D24" t="str">
            <v>Newborns</v>
          </cell>
          <cell r="F24" t="str">
            <v>All areas</v>
          </cell>
          <cell r="G24">
            <v>0.90500000000000003</v>
          </cell>
          <cell r="H24">
            <v>1</v>
          </cell>
          <cell r="I24">
            <v>60</v>
          </cell>
          <cell r="J24" t="str">
            <v>ASM</v>
          </cell>
          <cell r="K24" t="str">
            <v>ASM</v>
          </cell>
          <cell r="L24" t="str">
            <v>ASM</v>
          </cell>
          <cell r="M24" t="str">
            <v>Binome</v>
          </cell>
          <cell r="N24" t="str">
            <v>PIN: LiST default children who are not low birthweight</v>
          </cell>
        </row>
        <row r="25">
          <cell r="B25" t="str">
            <v>PNC Visit 2 (normal weight)</v>
          </cell>
          <cell r="C25" t="str">
            <v>Community Mother and Newborn Health Package</v>
          </cell>
          <cell r="D25" t="str">
            <v>Newborns</v>
          </cell>
          <cell r="F25" t="str">
            <v>All areas</v>
          </cell>
          <cell r="G25">
            <v>0.90500000000000003</v>
          </cell>
          <cell r="H25">
            <v>1</v>
          </cell>
          <cell r="I25">
            <v>60</v>
          </cell>
          <cell r="J25" t="str">
            <v>ASM</v>
          </cell>
          <cell r="K25" t="str">
            <v>ASM</v>
          </cell>
          <cell r="L25" t="str">
            <v>ASM</v>
          </cell>
          <cell r="M25" t="str">
            <v>Binome</v>
          </cell>
          <cell r="N25" t="str">
            <v>PIN: LiST default children who are not low birthweight</v>
          </cell>
        </row>
        <row r="26">
          <cell r="B26" t="str">
            <v>PNC Visit 1 (underweight)</v>
          </cell>
          <cell r="C26" t="str">
            <v>Community Mother and Newborn Health Package</v>
          </cell>
          <cell r="D26" t="str">
            <v>Newborns</v>
          </cell>
          <cell r="F26" t="str">
            <v>All areas</v>
          </cell>
          <cell r="G26">
            <v>9.5000000000000001E-2</v>
          </cell>
          <cell r="H26">
            <v>1</v>
          </cell>
          <cell r="I26">
            <v>90</v>
          </cell>
          <cell r="J26" t="str">
            <v>ASM</v>
          </cell>
          <cell r="K26" t="str">
            <v>ASM</v>
          </cell>
          <cell r="L26" t="str">
            <v>ASM</v>
          </cell>
          <cell r="M26" t="str">
            <v>Binome</v>
          </cell>
          <cell r="N26" t="str">
            <v>PIN: LiST default for low birth weight</v>
          </cell>
        </row>
        <row r="27">
          <cell r="B27" t="str">
            <v>PNC Visit 2 (underweight)</v>
          </cell>
          <cell r="C27" t="str">
            <v>Community Mother and Newborn Health Package</v>
          </cell>
          <cell r="D27" t="str">
            <v>Newborns</v>
          </cell>
          <cell r="F27" t="str">
            <v>All areas</v>
          </cell>
          <cell r="G27">
            <v>9.5000000000000001E-2</v>
          </cell>
          <cell r="H27">
            <v>1</v>
          </cell>
          <cell r="I27">
            <v>90</v>
          </cell>
          <cell r="J27" t="str">
            <v>ASM</v>
          </cell>
          <cell r="K27" t="str">
            <v>ASM</v>
          </cell>
          <cell r="L27" t="str">
            <v>ASM</v>
          </cell>
          <cell r="M27" t="str">
            <v>Binome</v>
          </cell>
          <cell r="N27" t="str">
            <v>PIN: LiST default for low birth weight</v>
          </cell>
        </row>
        <row r="28">
          <cell r="B28" t="str">
            <v>Maternal or neonatal referral</v>
          </cell>
          <cell r="C28" t="str">
            <v>Community Mother and Newborn Health Package</v>
          </cell>
          <cell r="D28" t="str">
            <v>Newborns</v>
          </cell>
          <cell r="F28" t="str">
            <v>All areas</v>
          </cell>
          <cell r="G28">
            <v>0</v>
          </cell>
          <cell r="H28">
            <v>1</v>
          </cell>
          <cell r="I28">
            <v>5</v>
          </cell>
          <cell r="J28" t="str">
            <v>ASM</v>
          </cell>
          <cell r="K28" t="str">
            <v>ASM</v>
          </cell>
          <cell r="L28" t="str">
            <v>ASM</v>
          </cell>
          <cell r="M28" t="str">
            <v>Binome</v>
          </cell>
          <cell r="N28" t="str">
            <v>Duplicative with PNC 1 and/or PNC 2</v>
          </cell>
        </row>
        <row r="29">
          <cell r="F29" t="str">
            <v>All areas</v>
          </cell>
        </row>
        <row r="30">
          <cell r="B30" t="str">
            <v>Sick child visit</v>
          </cell>
          <cell r="C30" t="str">
            <v>Integrated community case management</v>
          </cell>
          <cell r="D30" t="str">
            <v>Children 2-59 months</v>
          </cell>
          <cell r="F30" t="str">
            <v>All areas</v>
          </cell>
          <cell r="G30">
            <v>0</v>
          </cell>
          <cell r="H30">
            <v>1</v>
          </cell>
          <cell r="I30">
            <v>45</v>
          </cell>
          <cell r="J30" t="str">
            <v>Binome</v>
          </cell>
          <cell r="K30" t="str">
            <v>Binome</v>
          </cell>
          <cell r="L30" t="str">
            <v>Binome</v>
          </cell>
          <cell r="M30" t="str">
            <v>Binome</v>
          </cell>
          <cell r="N30" t="str">
            <v>Duplicative with diagnosis and treatment of specific maladies</v>
          </cell>
        </row>
        <row r="31">
          <cell r="B31" t="str">
            <v>Diagnosis and treatment of diarrhea (2-59)</v>
          </cell>
          <cell r="C31" t="str">
            <v>Integrated community case management</v>
          </cell>
          <cell r="D31" t="str">
            <v>Children 2-59 months</v>
          </cell>
          <cell r="F31" t="str">
            <v>All areas</v>
          </cell>
          <cell r="G31">
            <v>3.3</v>
          </cell>
          <cell r="H31">
            <v>1</v>
          </cell>
          <cell r="I31">
            <v>20</v>
          </cell>
          <cell r="J31" t="str">
            <v>Binome</v>
          </cell>
          <cell r="K31" t="str">
            <v>Binome</v>
          </cell>
          <cell r="L31" t="str">
            <v>Binome</v>
          </cell>
          <cell r="M31" t="str">
            <v>Binome</v>
          </cell>
          <cell r="N31" t="str">
            <v>PIN: LIST/OHT default</v>
          </cell>
        </row>
        <row r="32">
          <cell r="B32" t="str">
            <v>Diagnosis and treatment of pneumonia (2-59)</v>
          </cell>
          <cell r="C32" t="str">
            <v>Integrated community case management</v>
          </cell>
          <cell r="D32" t="str">
            <v>Children 2-59 months</v>
          </cell>
          <cell r="F32" t="str">
            <v>All areas</v>
          </cell>
          <cell r="G32">
            <v>1.119</v>
          </cell>
          <cell r="H32">
            <v>1</v>
          </cell>
          <cell r="I32">
            <v>35</v>
          </cell>
          <cell r="J32" t="str">
            <v>Binome</v>
          </cell>
          <cell r="K32" t="str">
            <v>Binome</v>
          </cell>
          <cell r="L32" t="str">
            <v>Binome</v>
          </cell>
          <cell r="M32" t="str">
            <v/>
          </cell>
          <cell r="N32" t="str">
            <v>PIN: LIST/OHT default</v>
          </cell>
        </row>
        <row r="33">
          <cell r="B33" t="str">
            <v>Diagnosis and treatment of malaria (2-59)</v>
          </cell>
          <cell r="C33" t="str">
            <v>Integrated community case management</v>
          </cell>
          <cell r="D33" t="str">
            <v>Children 2-59 months</v>
          </cell>
          <cell r="F33" t="str">
            <v>All areas</v>
          </cell>
          <cell r="G33">
            <v>2.2320000000000002</v>
          </cell>
          <cell r="H33">
            <v>1</v>
          </cell>
          <cell r="I33">
            <v>45</v>
          </cell>
          <cell r="J33" t="str">
            <v>Binome</v>
          </cell>
          <cell r="K33" t="str">
            <v>Binome</v>
          </cell>
          <cell r="L33" t="str">
            <v>Binome</v>
          </cell>
          <cell r="M33" t="str">
            <v/>
          </cell>
          <cell r="N33" t="str">
            <v>PIN: LIST/OHT default</v>
          </cell>
        </row>
        <row r="34">
          <cell r="B34" t="str">
            <v>Diagnosis and treatment of malaria (adult)</v>
          </cell>
          <cell r="C34" t="str">
            <v>Integrated community case management</v>
          </cell>
          <cell r="D34" t="str">
            <v>Adults &gt;5</v>
          </cell>
          <cell r="F34" t="str">
            <v>All areas</v>
          </cell>
          <cell r="G34">
            <v>0.53</v>
          </cell>
          <cell r="H34">
            <v>1</v>
          </cell>
          <cell r="I34">
            <v>25</v>
          </cell>
          <cell r="J34" t="str">
            <v>Binome</v>
          </cell>
          <cell r="K34" t="str">
            <v>Binome</v>
          </cell>
          <cell r="L34" t="str">
            <v>Binome</v>
          </cell>
          <cell r="M34" t="str">
            <v/>
          </cell>
          <cell r="N34" t="str">
            <v>PIN: LIST/OHT default</v>
          </cell>
        </row>
        <row r="35">
          <cell r="B35" t="str">
            <v>ICCM follow up</v>
          </cell>
          <cell r="C35" t="str">
            <v>Integrated community case management</v>
          </cell>
          <cell r="D35" t="str">
            <v>Children 2-59 months</v>
          </cell>
          <cell r="F35" t="str">
            <v>All areas</v>
          </cell>
          <cell r="G35">
            <v>6.6509999999999998</v>
          </cell>
          <cell r="H35">
            <v>1</v>
          </cell>
          <cell r="I35">
            <v>25</v>
          </cell>
          <cell r="J35" t="str">
            <v>Binome</v>
          </cell>
          <cell r="K35" t="str">
            <v>Binome</v>
          </cell>
          <cell r="L35" t="str">
            <v>Binome</v>
          </cell>
          <cell r="M35" t="str">
            <v/>
          </cell>
          <cell r="N35" t="str">
            <v>estimate of Janvier and Pascal after having subtracted travel time</v>
          </cell>
        </row>
        <row r="36">
          <cell r="B36" t="str">
            <v>ICCM follow up and referral (difficult cases)</v>
          </cell>
          <cell r="C36" t="str">
            <v>Integrated community case management</v>
          </cell>
          <cell r="F36" t="str">
            <v>All areas</v>
          </cell>
          <cell r="G36">
            <v>0</v>
          </cell>
          <cell r="I36">
            <v>10</v>
          </cell>
          <cell r="J36" t="str">
            <v>Binome</v>
          </cell>
          <cell r="K36" t="str">
            <v>Binome</v>
          </cell>
          <cell r="L36" t="str">
            <v>Binome</v>
          </cell>
          <cell r="M36" t="str">
            <v/>
          </cell>
          <cell r="N36" t="str">
            <v>Duplicative with ICCM follow up</v>
          </cell>
        </row>
        <row r="37">
          <cell r="F37" t="str">
            <v>All areas</v>
          </cell>
          <cell r="J37" t="str">
            <v/>
          </cell>
          <cell r="K37" t="str">
            <v/>
          </cell>
          <cell r="L37" t="str">
            <v/>
          </cell>
          <cell r="M37" t="str">
            <v/>
          </cell>
        </row>
        <row r="38">
          <cell r="B38" t="str">
            <v>Deworming (1 - 5 years)</v>
          </cell>
          <cell r="C38" t="str">
            <v>Integrated community case management</v>
          </cell>
          <cell r="D38" t="str">
            <v>Children 2-59 months</v>
          </cell>
          <cell r="F38" t="str">
            <v>All areas</v>
          </cell>
          <cell r="G38">
            <v>0</v>
          </cell>
          <cell r="H38">
            <v>1</v>
          </cell>
          <cell r="I38">
            <v>5</v>
          </cell>
          <cell r="J38" t="str">
            <v>Binome</v>
          </cell>
          <cell r="K38" t="str">
            <v>Binome</v>
          </cell>
          <cell r="L38" t="str">
            <v>Binome</v>
          </cell>
          <cell r="M38" t="str">
            <v/>
          </cell>
          <cell r="N38" t="str">
            <v>Duplicative: Part of "Campaigns"</v>
          </cell>
        </row>
        <row r="39">
          <cell r="B39" t="str">
            <v>Immunization and vitA verification</v>
          </cell>
          <cell r="C39" t="str">
            <v>Integrated community case management</v>
          </cell>
          <cell r="D39" t="str">
            <v>Children &lt;1</v>
          </cell>
          <cell r="F39" t="str">
            <v>All areas</v>
          </cell>
          <cell r="G39">
            <v>0</v>
          </cell>
          <cell r="H39">
            <v>1</v>
          </cell>
          <cell r="I39">
            <v>4</v>
          </cell>
          <cell r="J39" t="str">
            <v>Binome</v>
          </cell>
          <cell r="K39" t="str">
            <v>Binome</v>
          </cell>
          <cell r="L39" t="str">
            <v>Binome</v>
          </cell>
          <cell r="M39" t="str">
            <v/>
          </cell>
          <cell r="N39" t="str">
            <v>Duplicative: Is part of either campaigns or as part of regular activities of the Binome</v>
          </cell>
        </row>
        <row r="40">
          <cell r="F40" t="str">
            <v>All areas</v>
          </cell>
        </row>
        <row r="41">
          <cell r="B41" t="str">
            <v>Growth Monitoring (ASM)</v>
          </cell>
          <cell r="C41" t="str">
            <v>Community Based Nutrition Program</v>
          </cell>
          <cell r="D41" t="str">
            <v>Community</v>
          </cell>
          <cell r="F41" t="str">
            <v>All areas</v>
          </cell>
          <cell r="G41">
            <v>1</v>
          </cell>
          <cell r="H41">
            <v>12</v>
          </cell>
          <cell r="I41">
            <v>180</v>
          </cell>
          <cell r="J41" t="str">
            <v>ASM</v>
          </cell>
          <cell r="K41" t="str">
            <v>ASM</v>
          </cell>
          <cell r="L41" t="str">
            <v>ASM</v>
          </cell>
          <cell r="M41" t="str">
            <v/>
          </cell>
          <cell r="N41" t="str">
            <v>community based all three CHW participate in monthly events</v>
          </cell>
        </row>
        <row r="42">
          <cell r="B42" t="str">
            <v>Growth Monitoring (binome)</v>
          </cell>
          <cell r="C42" t="str">
            <v>Community Based Nutrition Program</v>
          </cell>
          <cell r="D42" t="str">
            <v>Community</v>
          </cell>
          <cell r="F42" t="str">
            <v>All areas</v>
          </cell>
          <cell r="G42">
            <v>1</v>
          </cell>
          <cell r="H42">
            <v>24</v>
          </cell>
          <cell r="I42">
            <v>180</v>
          </cell>
          <cell r="J42" t="str">
            <v>Binome</v>
          </cell>
          <cell r="K42" t="str">
            <v>Binome</v>
          </cell>
          <cell r="L42" t="str">
            <v>Binome</v>
          </cell>
          <cell r="M42" t="str">
            <v/>
          </cell>
          <cell r="N42" t="str">
            <v>community based all three CHW participate in monthly events</v>
          </cell>
        </row>
        <row r="43">
          <cell r="B43" t="str">
            <v>Malnutrition follow up</v>
          </cell>
          <cell r="C43" t="str">
            <v>Community Based Nutrition Program</v>
          </cell>
          <cell r="D43" t="str">
            <v>Household</v>
          </cell>
          <cell r="F43" t="str">
            <v>All areas</v>
          </cell>
          <cell r="G43">
            <v>6.8520030818864149E-3</v>
          </cell>
          <cell r="H43">
            <v>1</v>
          </cell>
          <cell r="I43">
            <v>50</v>
          </cell>
          <cell r="J43" t="str">
            <v>ASM</v>
          </cell>
          <cell r="K43" t="str">
            <v>ASM</v>
          </cell>
          <cell r="L43" t="str">
            <v>ASM</v>
          </cell>
          <cell r="M43" t="str">
            <v/>
          </cell>
          <cell r="N43" t="str">
            <v>follow up with children moderately (but not severe) malnourished</v>
          </cell>
        </row>
        <row r="44">
          <cell r="F44" t="str">
            <v>All areas</v>
          </cell>
          <cell r="J44" t="str">
            <v/>
          </cell>
          <cell r="K44" t="str">
            <v/>
          </cell>
          <cell r="L44" t="str">
            <v/>
          </cell>
          <cell r="M44" t="str">
            <v/>
          </cell>
        </row>
        <row r="45">
          <cell r="B45" t="str">
            <v>Community cooking demonstration (ASM)</v>
          </cell>
          <cell r="C45" t="str">
            <v>Community Based Nutrition Program</v>
          </cell>
          <cell r="D45" t="str">
            <v>Community</v>
          </cell>
          <cell r="F45" t="str">
            <v>All areas</v>
          </cell>
          <cell r="G45">
            <v>1</v>
          </cell>
          <cell r="H45">
            <v>12</v>
          </cell>
          <cell r="I45">
            <v>180</v>
          </cell>
          <cell r="J45" t="str">
            <v>ASM</v>
          </cell>
          <cell r="K45" t="str">
            <v>ASM</v>
          </cell>
          <cell r="L45" t="str">
            <v>ASM</v>
          </cell>
          <cell r="M45" t="str">
            <v/>
          </cell>
          <cell r="N45" t="str">
            <v>community based all three CHW participate in monthly events</v>
          </cell>
        </row>
        <row r="46">
          <cell r="B46" t="str">
            <v>Community cooking demonstration (binome)</v>
          </cell>
          <cell r="C46" t="str">
            <v>Community Based Nutrition Program</v>
          </cell>
          <cell r="D46" t="str">
            <v>Community</v>
          </cell>
          <cell r="F46" t="str">
            <v>All areas</v>
          </cell>
          <cell r="G46">
            <v>1</v>
          </cell>
          <cell r="H46">
            <v>24</v>
          </cell>
          <cell r="I46">
            <v>180</v>
          </cell>
          <cell r="J46" t="str">
            <v>Binome</v>
          </cell>
          <cell r="K46" t="str">
            <v>Binome</v>
          </cell>
          <cell r="L46" t="str">
            <v>Binome</v>
          </cell>
          <cell r="M46" t="str">
            <v/>
          </cell>
          <cell r="N46" t="str">
            <v>community based all three CHW participate in monthly events</v>
          </cell>
        </row>
        <row r="47">
          <cell r="B47" t="str">
            <v>Home food fortification, Ongera (ASM)</v>
          </cell>
          <cell r="C47" t="str">
            <v>Community Based Nutrition Program</v>
          </cell>
          <cell r="D47" t="str">
            <v>Household</v>
          </cell>
          <cell r="F47" t="str">
            <v>All areas</v>
          </cell>
          <cell r="G47">
            <v>1</v>
          </cell>
          <cell r="H47">
            <v>12</v>
          </cell>
          <cell r="I47">
            <v>60</v>
          </cell>
          <cell r="J47" t="str">
            <v>ASM</v>
          </cell>
          <cell r="K47" t="str">
            <v>ASM</v>
          </cell>
          <cell r="L47" t="str">
            <v>ASM</v>
          </cell>
          <cell r="M47" t="str">
            <v/>
          </cell>
          <cell r="N47" t="str">
            <v>Households with a child under five</v>
          </cell>
        </row>
        <row r="48">
          <cell r="B48" t="str">
            <v>Home food fortification, Ongera (binome)</v>
          </cell>
          <cell r="C48" t="str">
            <v>Community Based Nutrition Program</v>
          </cell>
          <cell r="D48" t="str">
            <v>Household</v>
          </cell>
          <cell r="F48" t="str">
            <v>All areas</v>
          </cell>
          <cell r="G48">
            <v>1</v>
          </cell>
          <cell r="H48">
            <v>12</v>
          </cell>
          <cell r="I48">
            <v>60</v>
          </cell>
          <cell r="J48" t="str">
            <v>Binome</v>
          </cell>
          <cell r="K48" t="str">
            <v>Binome</v>
          </cell>
          <cell r="L48" t="str">
            <v>Binome</v>
          </cell>
          <cell r="M48" t="str">
            <v/>
          </cell>
          <cell r="N48" t="str">
            <v>Households with a child under five</v>
          </cell>
        </row>
        <row r="49">
          <cell r="B49" t="str">
            <v>Kitchen garden promotion</v>
          </cell>
          <cell r="C49" t="str">
            <v>Community Based Nutrition Program</v>
          </cell>
          <cell r="D49" t="str">
            <v>Household</v>
          </cell>
          <cell r="F49" t="str">
            <v>All areas</v>
          </cell>
          <cell r="G49">
            <v>0.25</v>
          </cell>
          <cell r="H49">
            <v>1</v>
          </cell>
          <cell r="I49">
            <v>120</v>
          </cell>
          <cell r="J49" t="str">
            <v>ASM</v>
          </cell>
          <cell r="K49" t="str">
            <v>ASM</v>
          </cell>
          <cell r="L49" t="str">
            <v>ASM</v>
          </cell>
          <cell r="M49" t="str">
            <v/>
          </cell>
          <cell r="N49" t="str">
            <v>Once every four years a particular household is visited</v>
          </cell>
        </row>
        <row r="50">
          <cell r="B50" t="str">
            <v>Accompaniment for HIV testing (VCT)</v>
          </cell>
          <cell r="C50" t="str">
            <v>Reproductive Health Package</v>
          </cell>
          <cell r="D50" t="str">
            <v>Adults &gt;15</v>
          </cell>
          <cell r="F50" t="str">
            <v>All areas</v>
          </cell>
          <cell r="G50">
            <v>0</v>
          </cell>
          <cell r="H50">
            <v>1</v>
          </cell>
          <cell r="I50">
            <v>120</v>
          </cell>
          <cell r="J50" t="str">
            <v>Binome</v>
          </cell>
          <cell r="K50" t="str">
            <v>Binome</v>
          </cell>
          <cell r="L50" t="str">
            <v>Binome</v>
          </cell>
          <cell r="M50" t="str">
            <v/>
          </cell>
          <cell r="N50" t="str">
            <v>This service is not mandated by standards.</v>
          </cell>
        </row>
        <row r="51">
          <cell r="B51" t="str">
            <v>VCT as part of PMTCT (accompaniment)</v>
          </cell>
          <cell r="C51" t="str">
            <v>Reproductive Health Package</v>
          </cell>
          <cell r="D51" t="str">
            <v>Pregnant Women</v>
          </cell>
          <cell r="F51" t="str">
            <v>All areas</v>
          </cell>
          <cell r="G51">
            <v>1</v>
          </cell>
          <cell r="H51">
            <v>1</v>
          </cell>
          <cell r="I51">
            <v>120</v>
          </cell>
          <cell r="J51" t="str">
            <v>ASM</v>
          </cell>
          <cell r="K51" t="str">
            <v>ASM</v>
          </cell>
          <cell r="L51" t="str">
            <v>ASM</v>
          </cell>
          <cell r="M51" t="str">
            <v/>
          </cell>
          <cell r="N51" t="str">
            <v>100 percent should be accompanied but only X% (in policy coverage) are accompanied</v>
          </cell>
        </row>
        <row r="52">
          <cell r="B52" t="str">
            <v>VCT as part of PMTCT (referral)</v>
          </cell>
          <cell r="C52" t="str">
            <v>Reproductive Health Package</v>
          </cell>
          <cell r="D52" t="str">
            <v>Pregnant Women</v>
          </cell>
          <cell r="F52" t="str">
            <v>All areas</v>
          </cell>
          <cell r="J52" t="str">
            <v>ASM</v>
          </cell>
          <cell r="K52" t="str">
            <v>ASM</v>
          </cell>
          <cell r="L52" t="str">
            <v>ASM</v>
          </cell>
          <cell r="M52" t="str">
            <v/>
          </cell>
          <cell r="N52" t="str">
            <v>Double counting: Part of ANC 1, therefore we do not specify a time per visit</v>
          </cell>
        </row>
        <row r="53">
          <cell r="B53" t="str">
            <v>Additional VCT for discordant couples</v>
          </cell>
          <cell r="D53" t="str">
            <v>Pregnant Women</v>
          </cell>
          <cell r="F53" t="str">
            <v>All areas</v>
          </cell>
          <cell r="J53" t="str">
            <v>ASM</v>
          </cell>
          <cell r="K53" t="str">
            <v>ASM</v>
          </cell>
          <cell r="L53" t="str">
            <v>ASM</v>
          </cell>
          <cell r="M53" t="str">
            <v/>
          </cell>
          <cell r="N53" t="str">
            <v>Double counting: Part of ANC, therefore we do not specify a time per visit</v>
          </cell>
        </row>
        <row r="54">
          <cell r="B54" t="str">
            <v>ITN use in house during ANC (ASM)</v>
          </cell>
          <cell r="C54" t="str">
            <v>Behaviour Change Communication</v>
          </cell>
          <cell r="D54" t="str">
            <v>Household</v>
          </cell>
          <cell r="F54" t="str">
            <v>All areas</v>
          </cell>
          <cell r="G54">
            <v>0</v>
          </cell>
          <cell r="H54">
            <v>12</v>
          </cell>
          <cell r="I54">
            <v>10</v>
          </cell>
          <cell r="J54" t="str">
            <v>ASM</v>
          </cell>
          <cell r="K54" t="str">
            <v>ASM</v>
          </cell>
          <cell r="L54" t="str">
            <v>ASM</v>
          </cell>
          <cell r="M54" t="str">
            <v/>
          </cell>
          <cell r="N54" t="str">
            <v>Part of ANC</v>
          </cell>
        </row>
        <row r="55">
          <cell r="B55" t="str">
            <v>ITN use in house during a home visit (binome)</v>
          </cell>
          <cell r="C55" t="str">
            <v>Behaviour Change Communication</v>
          </cell>
          <cell r="D55" t="str">
            <v>Household</v>
          </cell>
          <cell r="F55" t="str">
            <v>All areas</v>
          </cell>
          <cell r="G55">
            <v>1</v>
          </cell>
          <cell r="H55">
            <v>12</v>
          </cell>
          <cell r="I55">
            <v>10</v>
          </cell>
          <cell r="J55" t="str">
            <v>Binome</v>
          </cell>
          <cell r="K55" t="str">
            <v>Binome</v>
          </cell>
          <cell r="L55" t="str">
            <v>Binome</v>
          </cell>
          <cell r="M55" t="str">
            <v/>
          </cell>
        </row>
        <row r="56">
          <cell r="F56" t="str">
            <v>All areas</v>
          </cell>
          <cell r="J56" t="str">
            <v/>
          </cell>
          <cell r="K56" t="str">
            <v/>
          </cell>
          <cell r="L56" t="str">
            <v/>
          </cell>
          <cell r="M56" t="str">
            <v/>
          </cell>
        </row>
        <row r="57">
          <cell r="B57" t="str">
            <v>Verbal autopsy: maternal assessment and reporting</v>
          </cell>
          <cell r="C57" t="str">
            <v>HIS reporting and audit</v>
          </cell>
          <cell r="D57" t="str">
            <v>Newborns</v>
          </cell>
          <cell r="F57" t="str">
            <v>All areas</v>
          </cell>
          <cell r="G57">
            <v>2.0999999999999999E-3</v>
          </cell>
          <cell r="H57">
            <v>1</v>
          </cell>
          <cell r="I57">
            <v>120</v>
          </cell>
          <cell r="J57" t="str">
            <v>ASM</v>
          </cell>
          <cell r="K57" t="str">
            <v>ASM</v>
          </cell>
          <cell r="L57" t="str">
            <v>ASM</v>
          </cell>
          <cell r="M57" t="str">
            <v/>
          </cell>
          <cell r="N57" t="str">
            <v>Mortality rates from DHS</v>
          </cell>
        </row>
        <row r="58">
          <cell r="B58" t="str">
            <v>Verbal autopsy: maternal audit with HC</v>
          </cell>
          <cell r="C58" t="str">
            <v>HIS reporting and audit</v>
          </cell>
          <cell r="D58" t="str">
            <v>Newborns</v>
          </cell>
          <cell r="F58" t="str">
            <v>All areas</v>
          </cell>
          <cell r="G58">
            <v>2.0999999999999999E-3</v>
          </cell>
          <cell r="H58">
            <v>1</v>
          </cell>
          <cell r="I58">
            <v>120</v>
          </cell>
          <cell r="J58" t="str">
            <v>ASM</v>
          </cell>
          <cell r="K58" t="str">
            <v>ASM</v>
          </cell>
          <cell r="L58" t="str">
            <v>ASM</v>
          </cell>
          <cell r="M58" t="str">
            <v/>
          </cell>
          <cell r="N58" t="str">
            <v>Mortality rates from DHS</v>
          </cell>
        </row>
        <row r="59">
          <cell r="B59" t="str">
            <v>Verbal autopsy: child assessment and reporting</v>
          </cell>
          <cell r="C59" t="str">
            <v>HIS reporting and audit</v>
          </cell>
          <cell r="D59" t="str">
            <v>Newborns</v>
          </cell>
          <cell r="F59" t="str">
            <v>All areas</v>
          </cell>
          <cell r="G59">
            <v>5.0000000000000001E-3</v>
          </cell>
          <cell r="H59">
            <v>1</v>
          </cell>
          <cell r="I59">
            <v>60</v>
          </cell>
          <cell r="J59" t="str">
            <v>Binome</v>
          </cell>
          <cell r="K59" t="str">
            <v>Binome</v>
          </cell>
          <cell r="L59" t="str">
            <v>Binome</v>
          </cell>
          <cell r="M59" t="str">
            <v/>
          </cell>
          <cell r="N59" t="str">
            <v>Mortality rates from DHS</v>
          </cell>
        </row>
        <row r="60">
          <cell r="B60" t="str">
            <v>Verbal autopsy: child audit with HC</v>
          </cell>
          <cell r="C60" t="str">
            <v>HIS reporting and audit</v>
          </cell>
          <cell r="D60" t="str">
            <v>Newborns</v>
          </cell>
          <cell r="F60" t="str">
            <v>All areas</v>
          </cell>
          <cell r="G60">
            <v>5.0000000000000001E-3</v>
          </cell>
          <cell r="H60">
            <v>1</v>
          </cell>
          <cell r="I60">
            <v>60</v>
          </cell>
          <cell r="J60" t="str">
            <v>Binome</v>
          </cell>
          <cell r="K60" t="str">
            <v>Binome</v>
          </cell>
          <cell r="L60" t="str">
            <v>Binome</v>
          </cell>
          <cell r="M60" t="str">
            <v/>
          </cell>
          <cell r="N60" t="str">
            <v>Mortality rates from DHS</v>
          </cell>
        </row>
        <row r="61">
          <cell r="B61" t="str">
            <v>General reporting (Minutes per week)-ASM</v>
          </cell>
          <cell r="C61" t="str">
            <v>HIS reporting and audit</v>
          </cell>
          <cell r="D61" t="str">
            <v>Direct entry</v>
          </cell>
          <cell r="F61" t="str">
            <v>All areas</v>
          </cell>
          <cell r="H61">
            <v>52</v>
          </cell>
          <cell r="I61">
            <v>15</v>
          </cell>
          <cell r="J61" t="str">
            <v>ASM</v>
          </cell>
          <cell r="K61" t="str">
            <v>ASM</v>
          </cell>
          <cell r="L61" t="str">
            <v>ASM</v>
          </cell>
          <cell r="M61" t="str">
            <v/>
          </cell>
          <cell r="N61" t="str">
            <v>Double counting: administration? Double counting</v>
          </cell>
        </row>
        <row r="62">
          <cell r="B62" t="str">
            <v>General reporting (Minutes per week)-Binome</v>
          </cell>
          <cell r="C62" t="str">
            <v>HIS reporting and audit</v>
          </cell>
          <cell r="D62" t="str">
            <v>Direct entry</v>
          </cell>
          <cell r="F62" t="str">
            <v>All areas</v>
          </cell>
          <cell r="H62">
            <v>52</v>
          </cell>
          <cell r="I62">
            <v>30</v>
          </cell>
          <cell r="J62" t="str">
            <v>Binome</v>
          </cell>
          <cell r="K62" t="str">
            <v>Binome</v>
          </cell>
          <cell r="L62" t="str">
            <v>Binome</v>
          </cell>
          <cell r="M62" t="str">
            <v/>
          </cell>
          <cell r="N62" t="str">
            <v>Double counting: administration? Double counting</v>
          </cell>
        </row>
        <row r="63">
          <cell r="F63" t="str">
            <v>All areas</v>
          </cell>
          <cell r="J63" t="str">
            <v/>
          </cell>
          <cell r="K63">
            <v>0</v>
          </cell>
          <cell r="L63">
            <v>0</v>
          </cell>
          <cell r="M63" t="str">
            <v/>
          </cell>
        </row>
        <row r="64">
          <cell r="B64" t="str">
            <v>Treatment adherence support (DOTS and ART)</v>
          </cell>
          <cell r="C64" t="str">
            <v>Non-Communicable Diseases and HIV</v>
          </cell>
          <cell r="D64" t="str">
            <v>Adults &gt;15</v>
          </cell>
          <cell r="F64" t="str">
            <v>All areas</v>
          </cell>
          <cell r="G64">
            <v>1.5599999999999999E-2</v>
          </cell>
          <cell r="H64">
            <v>365</v>
          </cell>
          <cell r="I64">
            <v>30</v>
          </cell>
          <cell r="J64" t="str">
            <v>Binome</v>
          </cell>
          <cell r="K64" t="str">
            <v>Binome</v>
          </cell>
          <cell r="L64" t="str">
            <v>Binome</v>
          </cell>
          <cell r="M64" t="str">
            <v/>
          </cell>
          <cell r="N64" t="str">
            <v>see tab "country factsheet"</v>
          </cell>
        </row>
        <row r="85">
          <cell r="J85" t="str">
            <v/>
          </cell>
          <cell r="K85" t="str">
            <v/>
          </cell>
          <cell r="L85" t="str">
            <v/>
          </cell>
          <cell r="M85" t="str">
            <v/>
          </cell>
        </row>
        <row r="86">
          <cell r="J86" t="str">
            <v/>
          </cell>
          <cell r="K86" t="str">
            <v/>
          </cell>
          <cell r="L86" t="str">
            <v/>
          </cell>
          <cell r="M86" t="str">
            <v/>
          </cell>
        </row>
        <row r="87">
          <cell r="J87" t="str">
            <v/>
          </cell>
          <cell r="K87" t="str">
            <v/>
          </cell>
          <cell r="L87" t="str">
            <v/>
          </cell>
          <cell r="M87" t="str">
            <v/>
          </cell>
        </row>
        <row r="88">
          <cell r="J88" t="str">
            <v/>
          </cell>
          <cell r="K88" t="str">
            <v/>
          </cell>
          <cell r="L88" t="str">
            <v/>
          </cell>
          <cell r="M88" t="str">
            <v/>
          </cell>
        </row>
        <row r="89">
          <cell r="J89" t="str">
            <v/>
          </cell>
          <cell r="K89" t="str">
            <v/>
          </cell>
          <cell r="L89" t="str">
            <v/>
          </cell>
          <cell r="M89" t="str">
            <v/>
          </cell>
        </row>
        <row r="90">
          <cell r="J90" t="str">
            <v/>
          </cell>
          <cell r="K90" t="str">
            <v/>
          </cell>
          <cell r="L90" t="str">
            <v/>
          </cell>
          <cell r="M90" t="str">
            <v/>
          </cell>
        </row>
        <row r="91">
          <cell r="J91" t="str">
            <v/>
          </cell>
          <cell r="K91" t="str">
            <v/>
          </cell>
          <cell r="L91" t="str">
            <v/>
          </cell>
          <cell r="M91" t="str">
            <v/>
          </cell>
        </row>
        <row r="92">
          <cell r="J92" t="str">
            <v/>
          </cell>
          <cell r="K92" t="str">
            <v/>
          </cell>
          <cell r="L92" t="str">
            <v/>
          </cell>
          <cell r="M92" t="str">
            <v/>
          </cell>
        </row>
        <row r="93">
          <cell r="J93" t="str">
            <v/>
          </cell>
          <cell r="K93" t="str">
            <v/>
          </cell>
          <cell r="L93" t="str">
            <v/>
          </cell>
          <cell r="M93" t="str">
            <v/>
          </cell>
        </row>
        <row r="94">
          <cell r="J94" t="str">
            <v/>
          </cell>
          <cell r="K94" t="str">
            <v/>
          </cell>
          <cell r="L94" t="str">
            <v/>
          </cell>
          <cell r="M94" t="str">
            <v/>
          </cell>
        </row>
        <row r="95">
          <cell r="J95" t="str">
            <v/>
          </cell>
          <cell r="K95" t="str">
            <v/>
          </cell>
          <cell r="L95" t="str">
            <v/>
          </cell>
          <cell r="M95" t="str">
            <v/>
          </cell>
        </row>
        <row r="96">
          <cell r="J96" t="str">
            <v/>
          </cell>
          <cell r="K96" t="str">
            <v/>
          </cell>
          <cell r="L96" t="str">
            <v/>
          </cell>
          <cell r="M96" t="str">
            <v/>
          </cell>
        </row>
        <row r="97">
          <cell r="J97" t="str">
            <v/>
          </cell>
          <cell r="K97" t="str">
            <v/>
          </cell>
          <cell r="L97" t="str">
            <v/>
          </cell>
          <cell r="M97" t="str">
            <v/>
          </cell>
        </row>
        <row r="98">
          <cell r="J98" t="str">
            <v/>
          </cell>
          <cell r="K98" t="str">
            <v/>
          </cell>
          <cell r="L98" t="str">
            <v/>
          </cell>
          <cell r="M98" t="str">
            <v/>
          </cell>
        </row>
        <row r="99">
          <cell r="J99" t="str">
            <v/>
          </cell>
          <cell r="K99" t="str">
            <v/>
          </cell>
          <cell r="L99" t="str">
            <v/>
          </cell>
          <cell r="M99" t="str">
            <v/>
          </cell>
        </row>
        <row r="100">
          <cell r="J100" t="str">
            <v/>
          </cell>
          <cell r="K100" t="str">
            <v/>
          </cell>
          <cell r="L100" t="str">
            <v/>
          </cell>
          <cell r="M100" t="str">
            <v/>
          </cell>
        </row>
        <row r="101">
          <cell r="J101" t="str">
            <v/>
          </cell>
          <cell r="K101" t="str">
            <v/>
          </cell>
          <cell r="L101" t="str">
            <v/>
          </cell>
          <cell r="M101" t="str">
            <v/>
          </cell>
        </row>
        <row r="102">
          <cell r="J102" t="str">
            <v/>
          </cell>
          <cell r="K102" t="str">
            <v/>
          </cell>
          <cell r="L102" t="str">
            <v/>
          </cell>
          <cell r="M102" t="str">
            <v/>
          </cell>
        </row>
        <row r="103">
          <cell r="J103" t="str">
            <v/>
          </cell>
          <cell r="K103" t="str">
            <v/>
          </cell>
          <cell r="L103" t="str">
            <v/>
          </cell>
          <cell r="M103" t="str">
            <v/>
          </cell>
        </row>
        <row r="104">
          <cell r="J104" t="str">
            <v/>
          </cell>
          <cell r="K104" t="str">
            <v/>
          </cell>
          <cell r="L104" t="str">
            <v/>
          </cell>
          <cell r="M104" t="str">
            <v/>
          </cell>
        </row>
        <row r="105">
          <cell r="J105" t="str">
            <v/>
          </cell>
          <cell r="K105" t="str">
            <v/>
          </cell>
          <cell r="L105" t="str">
            <v/>
          </cell>
          <cell r="M105" t="str">
            <v/>
          </cell>
        </row>
      </sheetData>
      <sheetData sheetId="4" refreshError="1"/>
      <sheetData sheetId="5"/>
      <sheetData sheetId="6" refreshError="1"/>
      <sheetData sheetId="7"/>
      <sheetData sheetId="8" refreshError="1"/>
      <sheetData sheetId="9" refreshError="1"/>
      <sheetData sheetId="10" refreshError="1"/>
      <sheetData sheetId="11" refreshError="1"/>
      <sheetData sheetId="12"/>
      <sheetData sheetId="13" refreshError="1"/>
      <sheetData sheetId="14">
        <row r="10">
          <cell r="C10">
            <v>1</v>
          </cell>
        </row>
        <row r="24">
          <cell r="B24" t="e">
            <v>#REF!</v>
          </cell>
          <cell r="C24">
            <v>1</v>
          </cell>
          <cell r="D24">
            <v>1</v>
          </cell>
          <cell r="E24">
            <v>1</v>
          </cell>
          <cell r="F24">
            <v>1</v>
          </cell>
          <cell r="G24">
            <v>1</v>
          </cell>
          <cell r="H24">
            <v>1</v>
          </cell>
          <cell r="I24">
            <v>1</v>
          </cell>
          <cell r="J24">
            <v>1</v>
          </cell>
          <cell r="K24">
            <v>1</v>
          </cell>
          <cell r="L24">
            <v>1</v>
          </cell>
          <cell r="M24">
            <v>1</v>
          </cell>
        </row>
        <row r="25">
          <cell r="B25" t="e">
            <v>#REF!</v>
          </cell>
          <cell r="C25" t="e">
            <v>#REF!</v>
          </cell>
          <cell r="D25" t="e">
            <v>#REF!</v>
          </cell>
          <cell r="E25" t="e">
            <v>#REF!</v>
          </cell>
          <cell r="F25" t="e">
            <v>#REF!</v>
          </cell>
          <cell r="G25" t="e">
            <v>#REF!</v>
          </cell>
          <cell r="H25" t="e">
            <v>#REF!</v>
          </cell>
          <cell r="I25" t="e">
            <v>#REF!</v>
          </cell>
          <cell r="J25" t="e">
            <v>#REF!</v>
          </cell>
          <cell r="K25" t="e">
            <v>#REF!</v>
          </cell>
          <cell r="L25" t="e">
            <v>#REF!</v>
          </cell>
          <cell r="M25" t="e">
            <v>#REF!</v>
          </cell>
        </row>
        <row r="26">
          <cell r="B26" t="e">
            <v>#REF!</v>
          </cell>
          <cell r="C26" t="e">
            <v>#REF!</v>
          </cell>
          <cell r="D26" t="e">
            <v>#REF!</v>
          </cell>
          <cell r="E26" t="e">
            <v>#REF!</v>
          </cell>
          <cell r="F26" t="e">
            <v>#REF!</v>
          </cell>
          <cell r="G26" t="e">
            <v>#REF!</v>
          </cell>
          <cell r="H26" t="e">
            <v>#REF!</v>
          </cell>
          <cell r="I26" t="e">
            <v>#REF!</v>
          </cell>
          <cell r="J26" t="e">
            <v>#REF!</v>
          </cell>
          <cell r="K26" t="e">
            <v>#REF!</v>
          </cell>
          <cell r="L26" t="e">
            <v>#REF!</v>
          </cell>
          <cell r="M26" t="e">
            <v>#REF!</v>
          </cell>
        </row>
        <row r="27">
          <cell r="B27" t="e">
            <v>#REF!</v>
          </cell>
          <cell r="C27" t="e">
            <v>#REF!</v>
          </cell>
          <cell r="D27" t="e">
            <v>#REF!</v>
          </cell>
          <cell r="E27" t="e">
            <v>#REF!</v>
          </cell>
          <cell r="F27" t="e">
            <v>#REF!</v>
          </cell>
          <cell r="G27" t="e">
            <v>#REF!</v>
          </cell>
          <cell r="H27" t="e">
            <v>#REF!</v>
          </cell>
          <cell r="I27" t="e">
            <v>#REF!</v>
          </cell>
          <cell r="J27" t="e">
            <v>#REF!</v>
          </cell>
          <cell r="K27" t="e">
            <v>#REF!</v>
          </cell>
          <cell r="L27" t="e">
            <v>#REF!</v>
          </cell>
          <cell r="M27" t="e">
            <v>#REF!</v>
          </cell>
        </row>
        <row r="28">
          <cell r="B28" t="e">
            <v>#REF!</v>
          </cell>
          <cell r="C28" t="e">
            <v>#REF!</v>
          </cell>
          <cell r="D28" t="e">
            <v>#REF!</v>
          </cell>
          <cell r="E28" t="e">
            <v>#REF!</v>
          </cell>
          <cell r="F28" t="e">
            <v>#REF!</v>
          </cell>
          <cell r="G28" t="e">
            <v>#REF!</v>
          </cell>
          <cell r="H28" t="e">
            <v>#REF!</v>
          </cell>
          <cell r="I28" t="e">
            <v>#REF!</v>
          </cell>
          <cell r="J28" t="e">
            <v>#REF!</v>
          </cell>
          <cell r="K28" t="e">
            <v>#REF!</v>
          </cell>
          <cell r="L28" t="e">
            <v>#REF!</v>
          </cell>
          <cell r="M28" t="e">
            <v>#REF!</v>
          </cell>
        </row>
        <row r="29">
          <cell r="B29" t="e">
            <v>#REF!</v>
          </cell>
          <cell r="C29" t="e">
            <v>#REF!</v>
          </cell>
          <cell r="D29" t="e">
            <v>#REF!</v>
          </cell>
          <cell r="E29" t="e">
            <v>#REF!</v>
          </cell>
          <cell r="F29" t="e">
            <v>#REF!</v>
          </cell>
          <cell r="G29" t="e">
            <v>#REF!</v>
          </cell>
          <cell r="H29" t="e">
            <v>#REF!</v>
          </cell>
          <cell r="I29" t="e">
            <v>#REF!</v>
          </cell>
          <cell r="J29" t="e">
            <v>#REF!</v>
          </cell>
          <cell r="K29" t="e">
            <v>#REF!</v>
          </cell>
          <cell r="L29" t="e">
            <v>#REF!</v>
          </cell>
          <cell r="M29" t="e">
            <v>#REF!</v>
          </cell>
        </row>
        <row r="30">
          <cell r="B30" t="e">
            <v>#REF!</v>
          </cell>
          <cell r="C30" t="e">
            <v>#REF!</v>
          </cell>
          <cell r="D30" t="e">
            <v>#REF!</v>
          </cell>
          <cell r="E30" t="e">
            <v>#REF!</v>
          </cell>
          <cell r="F30" t="e">
            <v>#REF!</v>
          </cell>
          <cell r="G30" t="e">
            <v>#REF!</v>
          </cell>
          <cell r="H30" t="e">
            <v>#REF!</v>
          </cell>
          <cell r="I30" t="e">
            <v>#REF!</v>
          </cell>
          <cell r="J30" t="e">
            <v>#REF!</v>
          </cell>
          <cell r="K30" t="e">
            <v>#REF!</v>
          </cell>
          <cell r="L30" t="e">
            <v>#REF!</v>
          </cell>
          <cell r="M30" t="e">
            <v>#REF!</v>
          </cell>
        </row>
      </sheetData>
      <sheetData sheetId="15">
        <row r="9">
          <cell r="B9" t="str">
            <v>Male condom distribution (ASM)</v>
          </cell>
        </row>
        <row r="10">
          <cell r="B10" t="str">
            <v>Male condom distribution (Binome)</v>
          </cell>
        </row>
        <row r="11">
          <cell r="B11" t="str">
            <v>Oral Contraceptives (ASM)</v>
          </cell>
        </row>
        <row r="12">
          <cell r="B12" t="str">
            <v>Oral Contraceptives (Binome)</v>
          </cell>
        </row>
        <row r="13">
          <cell r="B13" t="str">
            <v>Depo Provera Injections (ASM)</v>
          </cell>
        </row>
        <row r="14">
          <cell r="B14" t="str">
            <v>Depo Provera Injections (Binome)</v>
          </cell>
        </row>
        <row r="15">
          <cell r="B15" t="str">
            <v>Cycle bead (ASM)</v>
          </cell>
        </row>
        <row r="16">
          <cell r="B16" t="str">
            <v>Cycle bead (Binome)</v>
          </cell>
        </row>
        <row r="17">
          <cell r="B17" t="str">
            <v>Family Planning Counseling (ASM)</v>
          </cell>
        </row>
        <row r="18">
          <cell r="B18" t="str">
            <v>Family Planning Counseling (Binome)</v>
          </cell>
        </row>
        <row r="19">
          <cell r="B19" t="str">
            <v>Postpartum family planning counseling</v>
          </cell>
        </row>
        <row r="20">
          <cell r="B20" t="str">
            <v/>
          </cell>
        </row>
        <row r="21">
          <cell r="B21" t="str">
            <v/>
          </cell>
        </row>
        <row r="22">
          <cell r="B22" t="str">
            <v>ANC Visit 1</v>
          </cell>
        </row>
        <row r="23">
          <cell r="B23" t="str">
            <v>ANC Visit 2</v>
          </cell>
        </row>
        <row r="24">
          <cell r="B24" t="str">
            <v>ANC Visit 3</v>
          </cell>
        </row>
        <row r="25">
          <cell r="B25" t="str">
            <v>Delivery assistance (accompaniment)</v>
          </cell>
        </row>
        <row r="26">
          <cell r="B26" t="str">
            <v>Misoprostol for home delivery</v>
          </cell>
        </row>
        <row r="27">
          <cell r="B27" t="str">
            <v>PNC Visit 1 (normal weight)</v>
          </cell>
        </row>
        <row r="28">
          <cell r="B28" t="str">
            <v>PNC Visit 2 (normal weight)</v>
          </cell>
        </row>
        <row r="29">
          <cell r="B29" t="str">
            <v>PNC Visit 1 (underweight)</v>
          </cell>
        </row>
        <row r="30">
          <cell r="B30" t="str">
            <v>PNC Visit 2 (underweight)</v>
          </cell>
        </row>
        <row r="31">
          <cell r="B31" t="str">
            <v>Maternal or neonatal referral</v>
          </cell>
        </row>
        <row r="32">
          <cell r="B32" t="str">
            <v/>
          </cell>
        </row>
        <row r="33">
          <cell r="B33" t="str">
            <v>Sick child visit</v>
          </cell>
        </row>
        <row r="34">
          <cell r="B34" t="str">
            <v>Diagnosis and treatment of diarrhea (2-59)</v>
          </cell>
        </row>
        <row r="35">
          <cell r="B35" t="str">
            <v>Diagnosis and treatment of pneumonia (2-59)</v>
          </cell>
        </row>
        <row r="36">
          <cell r="B36" t="str">
            <v>Diagnosis and treatment of malaria (2-59)</v>
          </cell>
        </row>
        <row r="37">
          <cell r="B37" t="str">
            <v>Diagnosis and treatment of malaria (adult)</v>
          </cell>
        </row>
        <row r="38">
          <cell r="B38" t="str">
            <v>ICCM follow up</v>
          </cell>
        </row>
        <row r="39">
          <cell r="B39" t="str">
            <v>ICCM follow up and referral (difficult cases)</v>
          </cell>
        </row>
        <row r="40">
          <cell r="B40" t="str">
            <v/>
          </cell>
        </row>
        <row r="41">
          <cell r="B41" t="str">
            <v>Deworming (1 - 5 years)</v>
          </cell>
        </row>
        <row r="42">
          <cell r="B42" t="str">
            <v>Immunization and vitA verification</v>
          </cell>
        </row>
        <row r="43">
          <cell r="B43" t="str">
            <v/>
          </cell>
        </row>
        <row r="44">
          <cell r="B44" t="str">
            <v>Growth Monitoring (ASM)</v>
          </cell>
        </row>
        <row r="45">
          <cell r="B45" t="str">
            <v>Growth Monitoring (binome)</v>
          </cell>
        </row>
        <row r="46">
          <cell r="B46" t="str">
            <v>Malnutrition follow up</v>
          </cell>
        </row>
        <row r="47">
          <cell r="B47" t="str">
            <v/>
          </cell>
        </row>
        <row r="48">
          <cell r="B48" t="str">
            <v>Community cooking demonstration (ASM)</v>
          </cell>
        </row>
        <row r="49">
          <cell r="B49" t="str">
            <v>Community cooking demonstration (binome)</v>
          </cell>
        </row>
        <row r="50">
          <cell r="B50" t="str">
            <v>Home food fortification, Ongera (ASM)</v>
          </cell>
        </row>
        <row r="51">
          <cell r="B51" t="str">
            <v>Home food fortification, Ongera (binome)</v>
          </cell>
        </row>
        <row r="52">
          <cell r="B52" t="str">
            <v>Kitchen garden promotion</v>
          </cell>
        </row>
        <row r="53">
          <cell r="B53" t="str">
            <v>Accompaniment for HIV testing (VCT)</v>
          </cell>
        </row>
        <row r="54">
          <cell r="B54" t="str">
            <v>VCT as part of PMTCT (accompaniment)</v>
          </cell>
        </row>
        <row r="55">
          <cell r="B55" t="str">
            <v>VCT as part of PMTCT (referral)</v>
          </cell>
        </row>
        <row r="56">
          <cell r="B56" t="str">
            <v>Additional VCT for discordant couples</v>
          </cell>
        </row>
        <row r="57">
          <cell r="B57" t="str">
            <v>ITN use in house during ANC (ASM)</v>
          </cell>
        </row>
        <row r="58">
          <cell r="B58" t="str">
            <v>ITN use in house during a home visit (binome)</v>
          </cell>
        </row>
        <row r="59">
          <cell r="B59" t="str">
            <v/>
          </cell>
        </row>
        <row r="60">
          <cell r="B60" t="str">
            <v>Verbal autopsy: maternal assessment and reporting</v>
          </cell>
        </row>
        <row r="61">
          <cell r="B61" t="str">
            <v>Verbal autopsy: maternal audit with HC</v>
          </cell>
        </row>
        <row r="62">
          <cell r="B62" t="str">
            <v>Verbal autopsy: child assessment and reporting</v>
          </cell>
        </row>
        <row r="63">
          <cell r="B63" t="str">
            <v>Verbal autopsy: child audit with HC</v>
          </cell>
        </row>
        <row r="64">
          <cell r="B64" t="str">
            <v>General reporting (Minutes per week)-ASM</v>
          </cell>
        </row>
        <row r="65">
          <cell r="B65" t="str">
            <v>General reporting (Minutes per week)-Binome</v>
          </cell>
        </row>
        <row r="66">
          <cell r="B66" t="str">
            <v/>
          </cell>
        </row>
        <row r="67">
          <cell r="B67" t="str">
            <v>Treatment adherence support (DOTS and ART)</v>
          </cell>
        </row>
        <row r="68">
          <cell r="B68" t="str">
            <v/>
          </cell>
        </row>
        <row r="69">
          <cell r="B69" t="str">
            <v/>
          </cell>
        </row>
        <row r="70">
          <cell r="B70" t="str">
            <v/>
          </cell>
        </row>
        <row r="71">
          <cell r="B71" t="str">
            <v/>
          </cell>
        </row>
        <row r="72">
          <cell r="B72" t="str">
            <v/>
          </cell>
        </row>
        <row r="73">
          <cell r="B73" t="str">
            <v/>
          </cell>
        </row>
        <row r="74">
          <cell r="B74" t="str">
            <v/>
          </cell>
        </row>
        <row r="75">
          <cell r="B75" t="str">
            <v/>
          </cell>
        </row>
        <row r="76">
          <cell r="B76" t="str">
            <v/>
          </cell>
        </row>
        <row r="77">
          <cell r="B77" t="str">
            <v/>
          </cell>
        </row>
        <row r="78">
          <cell r="B78" t="str">
            <v/>
          </cell>
        </row>
        <row r="79">
          <cell r="B79" t="str">
            <v/>
          </cell>
        </row>
        <row r="80">
          <cell r="B80" t="str">
            <v/>
          </cell>
        </row>
        <row r="81">
          <cell r="B81" t="str">
            <v/>
          </cell>
        </row>
        <row r="82">
          <cell r="B82" t="str">
            <v/>
          </cell>
        </row>
        <row r="83">
          <cell r="B83" t="str">
            <v/>
          </cell>
        </row>
        <row r="84">
          <cell r="B84" t="str">
            <v/>
          </cell>
        </row>
        <row r="85">
          <cell r="B85" t="str">
            <v/>
          </cell>
        </row>
        <row r="86">
          <cell r="B86" t="str">
            <v/>
          </cell>
        </row>
        <row r="87">
          <cell r="B87" t="str">
            <v/>
          </cell>
        </row>
        <row r="88">
          <cell r="B88" t="str">
            <v/>
          </cell>
        </row>
        <row r="89">
          <cell r="B89" t="str">
            <v/>
          </cell>
        </row>
        <row r="90">
          <cell r="B90" t="str">
            <v/>
          </cell>
        </row>
        <row r="91">
          <cell r="B91" t="str">
            <v/>
          </cell>
        </row>
        <row r="92">
          <cell r="B92" t="str">
            <v/>
          </cell>
        </row>
        <row r="93">
          <cell r="B93" t="str">
            <v/>
          </cell>
        </row>
        <row r="94">
          <cell r="B94" t="str">
            <v/>
          </cell>
        </row>
        <row r="95">
          <cell r="B95" t="str">
            <v/>
          </cell>
        </row>
        <row r="96">
          <cell r="B96" t="str">
            <v/>
          </cell>
        </row>
        <row r="97">
          <cell r="B97" t="str">
            <v/>
          </cell>
        </row>
        <row r="98">
          <cell r="B98" t="str">
            <v/>
          </cell>
        </row>
        <row r="99">
          <cell r="B99" t="str">
            <v/>
          </cell>
        </row>
        <row r="100">
          <cell r="B100" t="str">
            <v/>
          </cell>
        </row>
        <row r="101">
          <cell r="B101" t="str">
            <v/>
          </cell>
        </row>
        <row r="102">
          <cell r="B102" t="str">
            <v/>
          </cell>
        </row>
        <row r="103">
          <cell r="B103" t="str">
            <v/>
          </cell>
        </row>
        <row r="104">
          <cell r="B104" t="str">
            <v/>
          </cell>
        </row>
        <row r="105">
          <cell r="B105" t="str">
            <v/>
          </cell>
        </row>
        <row r="106">
          <cell r="B106" t="str">
            <v/>
          </cell>
        </row>
        <row r="107">
          <cell r="B107" t="str">
            <v/>
          </cell>
        </row>
        <row r="108">
          <cell r="B108" t="str">
            <v/>
          </cell>
        </row>
      </sheetData>
      <sheetData sheetId="16">
        <row r="86">
          <cell r="B86" t="str">
            <v>ASM</v>
          </cell>
        </row>
        <row r="87">
          <cell r="B87" t="str">
            <v>Binome</v>
          </cell>
        </row>
        <row r="88">
          <cell r="B88" t="str">
            <v/>
          </cell>
        </row>
        <row r="89">
          <cell r="B89" t="str">
            <v/>
          </cell>
        </row>
        <row r="90">
          <cell r="B90" t="str">
            <v/>
          </cell>
        </row>
        <row r="91">
          <cell r="B91" t="str">
            <v/>
          </cell>
        </row>
        <row r="92">
          <cell r="B92" t="str">
            <v>All CHWs</v>
          </cell>
        </row>
        <row r="93">
          <cell r="B93" t="str">
            <v>Urban CHWs</v>
          </cell>
        </row>
        <row r="94">
          <cell r="B94" t="str">
            <v>Rural CHWs</v>
          </cell>
        </row>
      </sheetData>
      <sheetData sheetId="17" refreshError="1"/>
      <sheetData sheetId="18" refreshError="1"/>
      <sheetData sheetId="19">
        <row r="26">
          <cell r="S26" t="str">
            <v>Pneumococcus Immunization</v>
          </cell>
        </row>
      </sheetData>
      <sheetData sheetId="20" refreshError="1"/>
      <sheetData sheetId="21">
        <row r="4">
          <cell r="C4" t="str">
            <v>Country Name</v>
          </cell>
          <cell r="D4" t="str">
            <v>National Currency</v>
          </cell>
          <cell r="E4" t="str">
            <v>National Currency (ISO Code)</v>
          </cell>
          <cell r="F4" t="str">
            <v>Exchange Rate per USD</v>
          </cell>
          <cell r="G4" t="str">
            <v>National Population '000 (2018)</v>
          </cell>
          <cell r="H4" t="str">
            <v>Total Population (2018)</v>
          </cell>
          <cell r="I4" t="str">
            <v>Annual population growth rate</v>
          </cell>
          <cell r="J4" t="str">
            <v>Crude Birth Rate (per 1,000 population)</v>
          </cell>
          <cell r="K4" t="str">
            <v>Maternal Mortality Rate (per 100,000 live births)</v>
          </cell>
          <cell r="L4" t="str">
            <v>Neonatal Mortality Rate (per 1,000 live births)</v>
          </cell>
          <cell r="M4" t="str">
            <v>Under-5 Mortality Rate (per 1,000 live births)</v>
          </cell>
          <cell r="N4" t="str">
            <v>Total Male Population '000</v>
          </cell>
          <cell r="O4" t="str">
            <v>Total Female Population '000</v>
          </cell>
          <cell r="P4" t="str">
            <v>Males 0-1</v>
          </cell>
          <cell r="Q4" t="str">
            <v>Males 0-4</v>
          </cell>
          <cell r="R4" t="str">
            <v>0-14</v>
          </cell>
          <cell r="S4" t="str">
            <v>0-24</v>
          </cell>
          <cell r="T4" t="str">
            <v>Males 5-10</v>
          </cell>
          <cell r="U4" t="str">
            <v>Males 5-14</v>
          </cell>
          <cell r="V4" t="str">
            <v>Males 15+</v>
          </cell>
          <cell r="W4" t="str">
            <v>Males 15-24</v>
          </cell>
          <cell r="X4" t="str">
            <v>Males 15-49</v>
          </cell>
          <cell r="Y4" t="str">
            <v>Males 15-59</v>
          </cell>
          <cell r="Z4" t="str">
            <v>15-64</v>
          </cell>
          <cell r="AA4" t="str">
            <v>Males 25-49</v>
          </cell>
          <cell r="AB4" t="str">
            <v>25-64</v>
          </cell>
          <cell r="AC4" t="str">
            <v>25-69</v>
          </cell>
          <cell r="AD4" t="str">
            <v>Males 50+</v>
          </cell>
          <cell r="AE4" t="str">
            <v>Male 65+</v>
          </cell>
          <cell r="AF4" t="str">
            <v>Females 0-1</v>
          </cell>
          <cell r="AG4" t="str">
            <v>Females 0-4</v>
          </cell>
          <cell r="AH4" t="str">
            <v>0-14</v>
          </cell>
          <cell r="AI4" t="str">
            <v>0-24</v>
          </cell>
          <cell r="AJ4" t="str">
            <v>Females 5-10</v>
          </cell>
          <cell r="AK4" t="str">
            <v>Females 5-14</v>
          </cell>
          <cell r="AL4" t="str">
            <v>Females 15+</v>
          </cell>
          <cell r="AM4" t="str">
            <v>Females 15-24</v>
          </cell>
          <cell r="AN4" t="str">
            <v>Females 15-49</v>
          </cell>
          <cell r="AO4" t="str">
            <v>Females 15-59</v>
          </cell>
          <cell r="AP4" t="str">
            <v>15-64</v>
          </cell>
          <cell r="AQ4" t="str">
            <v>Females 25-49</v>
          </cell>
          <cell r="AR4" t="str">
            <v>25-64</v>
          </cell>
          <cell r="AS4" t="str">
            <v>Females 50+</v>
          </cell>
        </row>
        <row r="5">
          <cell r="C5" t="str">
            <v>Afghanistan</v>
          </cell>
          <cell r="D5" t="str">
            <v>Afghani</v>
          </cell>
          <cell r="E5" t="str">
            <v>AFN</v>
          </cell>
          <cell r="F5">
            <v>1</v>
          </cell>
          <cell r="G5" t="e">
            <v>#N/A</v>
          </cell>
          <cell r="H5" t="e">
            <v>#N/A</v>
          </cell>
          <cell r="I5">
            <v>3.024</v>
          </cell>
          <cell r="J5">
            <v>35.253</v>
          </cell>
          <cell r="K5">
            <v>396</v>
          </cell>
          <cell r="L5">
            <v>35.5</v>
          </cell>
          <cell r="M5">
            <v>91.1</v>
          </cell>
          <cell r="N5">
            <v>16773.704000000002</v>
          </cell>
          <cell r="O5">
            <v>15752.858</v>
          </cell>
          <cell r="P5">
            <v>5.9867039504214503</v>
          </cell>
          <cell r="Q5">
            <v>15.1337832121039</v>
          </cell>
          <cell r="R5">
            <v>43.799461347356498</v>
          </cell>
          <cell r="S5">
            <v>65.011389255467904</v>
          </cell>
          <cell r="T5">
            <v>17.833288342276699</v>
          </cell>
          <cell r="U5">
            <v>28.665678135252701</v>
          </cell>
          <cell r="V5">
            <v>56.200538652643402</v>
          </cell>
          <cell r="W5">
            <v>21.211927908111399</v>
          </cell>
          <cell r="X5">
            <v>47.9865448919332</v>
          </cell>
          <cell r="Y5">
            <v>52.499668528787701</v>
          </cell>
          <cell r="Z5">
            <v>53.978745541235199</v>
          </cell>
          <cell r="AA5">
            <v>26.774616983821801</v>
          </cell>
          <cell r="AB5">
            <v>32.7668176331238</v>
          </cell>
          <cell r="AC5">
            <v>33.8095807580723</v>
          </cell>
          <cell r="AD5">
            <v>8.2139937607102205</v>
          </cell>
          <cell r="AE5">
            <v>2.2217931114081901</v>
          </cell>
          <cell r="AF5">
            <v>6.0278966521503596</v>
          </cell>
          <cell r="AG5">
            <v>15.309945661923701</v>
          </cell>
          <cell r="AH5">
            <v>44.300151756589202</v>
          </cell>
          <cell r="AI5">
            <v>65.418351387411704</v>
          </cell>
          <cell r="AJ5">
            <v>18.091021959316802</v>
          </cell>
          <cell r="AK5">
            <v>28.990206094665499</v>
          </cell>
          <cell r="AL5">
            <v>55.699848243410798</v>
          </cell>
          <cell r="AM5">
            <v>21.118199630822598</v>
          </cell>
          <cell r="AN5">
            <v>46.868536490330897</v>
          </cell>
          <cell r="AO5">
            <v>51.390255660274498</v>
          </cell>
          <cell r="AP5">
            <v>52.967436131272201</v>
          </cell>
          <cell r="AQ5">
            <v>25.750336859508302</v>
          </cell>
          <cell r="AR5">
            <v>31.849236500449599</v>
          </cell>
          <cell r="AS5">
            <v>8.8313117530799801</v>
          </cell>
        </row>
        <row r="6">
          <cell r="C6" t="str">
            <v>Albania</v>
          </cell>
          <cell r="D6" t="str">
            <v>Lek</v>
          </cell>
          <cell r="E6" t="str">
            <v>ALL</v>
          </cell>
          <cell r="F6">
            <v>1</v>
          </cell>
          <cell r="G6" t="e">
            <v>#N/A</v>
          </cell>
          <cell r="H6" t="e">
            <v>#N/A</v>
          </cell>
          <cell r="I6">
            <v>-3.5999999999999997E-2</v>
          </cell>
          <cell r="J6">
            <v>12.877000000000001</v>
          </cell>
          <cell r="K6">
            <v>29</v>
          </cell>
          <cell r="L6">
            <v>6.2</v>
          </cell>
          <cell r="M6">
            <v>14</v>
          </cell>
          <cell r="N6">
            <v>1436.82</v>
          </cell>
          <cell r="O6">
            <v>1459.8589999999999</v>
          </cell>
          <cell r="P6">
            <v>3.0516696593866999</v>
          </cell>
          <cell r="Q6">
            <v>6.6946451190824199</v>
          </cell>
          <cell r="R6">
            <v>19.4111997327431</v>
          </cell>
          <cell r="S6">
            <v>38.394370902409499</v>
          </cell>
          <cell r="T6">
            <v>6.8703804234350798</v>
          </cell>
          <cell r="U6">
            <v>12.7165546136607</v>
          </cell>
          <cell r="V6">
            <v>80.588800267256801</v>
          </cell>
          <cell r="W6">
            <v>18.983171169666299</v>
          </cell>
          <cell r="X6">
            <v>49.876463300900603</v>
          </cell>
          <cell r="Y6">
            <v>63.4184518589663</v>
          </cell>
          <cell r="Z6">
            <v>68.781266964546703</v>
          </cell>
          <cell r="AA6">
            <v>30.893292131234201</v>
          </cell>
          <cell r="AB6">
            <v>49.798095794880297</v>
          </cell>
          <cell r="AC6">
            <v>53.896103896103902</v>
          </cell>
          <cell r="AD6">
            <v>30.7123369663563</v>
          </cell>
          <cell r="AE6">
            <v>11.8075333027101</v>
          </cell>
          <cell r="AF6">
            <v>2.7821179990670299</v>
          </cell>
          <cell r="AG6">
            <v>6.1175771084741699</v>
          </cell>
          <cell r="AH6">
            <v>17.6948595720546</v>
          </cell>
          <cell r="AI6">
            <v>35.314848899791002</v>
          </cell>
          <cell r="AJ6">
            <v>6.2500556560599296</v>
          </cell>
          <cell r="AK6">
            <v>11.577282463580399</v>
          </cell>
          <cell r="AL6">
            <v>82.305140427945403</v>
          </cell>
          <cell r="AM6">
            <v>17.619989327736398</v>
          </cell>
          <cell r="AN6">
            <v>50.128950809632997</v>
          </cell>
          <cell r="AO6">
            <v>63.948436116090697</v>
          </cell>
          <cell r="AP6">
            <v>69.329298240446505</v>
          </cell>
          <cell r="AQ6">
            <v>32.508961481896499</v>
          </cell>
          <cell r="AR6">
            <v>51.7093089127101</v>
          </cell>
          <cell r="AS6">
            <v>32.176189618312399</v>
          </cell>
        </row>
        <row r="7">
          <cell r="C7" t="str">
            <v>Algeria</v>
          </cell>
          <cell r="D7" t="str">
            <v>Algerian Dinar</v>
          </cell>
          <cell r="E7" t="str">
            <v>DZD</v>
          </cell>
          <cell r="F7">
            <v>140.61963786008226</v>
          </cell>
          <cell r="G7" t="e">
            <v>#N/A</v>
          </cell>
          <cell r="H7" t="e">
            <v>#N/A</v>
          </cell>
          <cell r="I7">
            <v>1.92</v>
          </cell>
          <cell r="J7">
            <v>24.738</v>
          </cell>
          <cell r="K7">
            <v>140</v>
          </cell>
          <cell r="L7">
            <v>15.5</v>
          </cell>
          <cell r="M7">
            <v>25.5</v>
          </cell>
          <cell r="N7">
            <v>19957.603999999999</v>
          </cell>
          <cell r="O7">
            <v>19708.915000000001</v>
          </cell>
          <cell r="P7">
            <v>4.7757386107069797</v>
          </cell>
          <cell r="Q7">
            <v>11.692931676568</v>
          </cell>
          <cell r="R7">
            <v>28.816425057837598</v>
          </cell>
          <cell r="S7">
            <v>45.604517456103501</v>
          </cell>
          <cell r="T7">
            <v>11.327697453061001</v>
          </cell>
          <cell r="U7">
            <v>17.123493381269601</v>
          </cell>
          <cell r="V7">
            <v>71.183574942162394</v>
          </cell>
          <cell r="W7">
            <v>16.7880923982658</v>
          </cell>
          <cell r="X7">
            <v>54.281335575152198</v>
          </cell>
          <cell r="Y7">
            <v>62.414451153555298</v>
          </cell>
          <cell r="Z7">
            <v>65.533162197225707</v>
          </cell>
          <cell r="AA7">
            <v>37.493243176886402</v>
          </cell>
          <cell r="AB7">
            <v>48.745069798959797</v>
          </cell>
          <cell r="AC7">
            <v>50.745820991337403</v>
          </cell>
          <cell r="AD7">
            <v>16.9022393670102</v>
          </cell>
          <cell r="AE7">
            <v>5.6504127449367196</v>
          </cell>
          <cell r="AF7">
            <v>4.66845587390275</v>
          </cell>
          <cell r="AG7">
            <v>11.4475302166558</v>
          </cell>
          <cell r="AH7">
            <v>28.2574915970768</v>
          </cell>
          <cell r="AI7">
            <v>44.720148217190001</v>
          </cell>
          <cell r="AJ7">
            <v>11.126568864902</v>
          </cell>
          <cell r="AK7">
            <v>16.809961380421001</v>
          </cell>
          <cell r="AL7">
            <v>71.742508402923306</v>
          </cell>
          <cell r="AM7">
            <v>16.4626566201133</v>
          </cell>
          <cell r="AN7">
            <v>54.345376191434198</v>
          </cell>
          <cell r="AO7">
            <v>62.493901871310499</v>
          </cell>
          <cell r="AP7">
            <v>65.513215719891207</v>
          </cell>
          <cell r="AQ7">
            <v>37.882719571320898</v>
          </cell>
          <cell r="AR7">
            <v>49.0505590997779</v>
          </cell>
          <cell r="AS7">
            <v>17.397132211489101</v>
          </cell>
        </row>
        <row r="8">
          <cell r="C8" t="str">
            <v>Andorra</v>
          </cell>
          <cell r="D8" t="str">
            <v>Euro</v>
          </cell>
          <cell r="E8" t="str">
            <v>EUR</v>
          </cell>
          <cell r="F8">
            <v>1.2617355060728741</v>
          </cell>
          <cell r="G8" t="e">
            <v>#N/A</v>
          </cell>
          <cell r="H8" t="e">
            <v>#N/A</v>
          </cell>
          <cell r="I8">
            <v>-3.6110000000000002</v>
          </cell>
          <cell r="J8">
            <v>0</v>
          </cell>
          <cell r="K8">
            <v>0</v>
          </cell>
          <cell r="L8">
            <v>1.4</v>
          </cell>
          <cell r="M8">
            <v>2.8</v>
          </cell>
          <cell r="N8" t="e">
            <v>#N/A</v>
          </cell>
          <cell r="O8" t="e">
            <v>#N/A</v>
          </cell>
          <cell r="P8" t="e">
            <v>#N/A</v>
          </cell>
          <cell r="Q8" t="e">
            <v>#N/A</v>
          </cell>
          <cell r="R8" t="e">
            <v>#N/A</v>
          </cell>
          <cell r="S8" t="e">
            <v>#N/A</v>
          </cell>
          <cell r="T8" t="e">
            <v>#N/A</v>
          </cell>
          <cell r="U8" t="e">
            <v>#N/A</v>
          </cell>
          <cell r="V8" t="e">
            <v>#N/A</v>
          </cell>
          <cell r="W8" t="e">
            <v>#N/A</v>
          </cell>
          <cell r="X8" t="e">
            <v>#N/A</v>
          </cell>
          <cell r="Y8" t="e">
            <v>#N/A</v>
          </cell>
          <cell r="Z8" t="e">
            <v>#N/A</v>
          </cell>
          <cell r="AA8" t="e">
            <v>#N/A</v>
          </cell>
          <cell r="AB8" t="e">
            <v>#N/A</v>
          </cell>
          <cell r="AC8" t="e">
            <v>#N/A</v>
          </cell>
          <cell r="AD8" t="e">
            <v>#N/A</v>
          </cell>
          <cell r="AE8" t="e">
            <v>#N/A</v>
          </cell>
          <cell r="AF8" t="e">
            <v>#N/A</v>
          </cell>
          <cell r="AG8" t="e">
            <v>#N/A</v>
          </cell>
          <cell r="AH8" t="e">
            <v>#N/A</v>
          </cell>
          <cell r="AI8" t="e">
            <v>#N/A</v>
          </cell>
          <cell r="AJ8" t="e">
            <v>#N/A</v>
          </cell>
          <cell r="AK8" t="e">
            <v>#N/A</v>
          </cell>
          <cell r="AL8" t="e">
            <v>#N/A</v>
          </cell>
          <cell r="AM8" t="e">
            <v>#N/A</v>
          </cell>
          <cell r="AN8" t="e">
            <v>#N/A</v>
          </cell>
          <cell r="AO8" t="e">
            <v>#N/A</v>
          </cell>
          <cell r="AP8" t="e">
            <v>#N/A</v>
          </cell>
          <cell r="AQ8" t="e">
            <v>#N/A</v>
          </cell>
          <cell r="AR8" t="e">
            <v>#N/A</v>
          </cell>
          <cell r="AS8" t="e">
            <v>#N/A</v>
          </cell>
        </row>
        <row r="9">
          <cell r="C9" t="str">
            <v>Angola</v>
          </cell>
          <cell r="D9" t="str">
            <v>Kwanza</v>
          </cell>
          <cell r="E9" t="str">
            <v>AOA</v>
          </cell>
          <cell r="F9">
            <v>1</v>
          </cell>
          <cell r="G9" t="e">
            <v>#N/A</v>
          </cell>
          <cell r="H9" t="e">
            <v>#N/A</v>
          </cell>
          <cell r="I9">
            <v>3.2959999999999998</v>
          </cell>
          <cell r="J9">
            <v>45.984999999999999</v>
          </cell>
          <cell r="K9">
            <v>477</v>
          </cell>
          <cell r="L9">
            <v>48.7</v>
          </cell>
          <cell r="M9">
            <v>156.9</v>
          </cell>
          <cell r="N9">
            <v>12416.191999999999</v>
          </cell>
          <cell r="O9">
            <v>12605.781999999999</v>
          </cell>
          <cell r="P9">
            <v>8.0752858847543596</v>
          </cell>
          <cell r="Q9">
            <v>19.114894486167699</v>
          </cell>
          <cell r="R9">
            <v>48.208871125704199</v>
          </cell>
          <cell r="S9">
            <v>67.748122773874599</v>
          </cell>
          <cell r="T9">
            <v>18.738539159188299</v>
          </cell>
          <cell r="U9">
            <v>29.0939766395365</v>
          </cell>
          <cell r="V9">
            <v>51.791128874295701</v>
          </cell>
          <cell r="W9">
            <v>19.539251648170399</v>
          </cell>
          <cell r="X9">
            <v>44.063904617454398</v>
          </cell>
          <cell r="Y9">
            <v>48.288718473425703</v>
          </cell>
          <cell r="Z9">
            <v>49.709806356087299</v>
          </cell>
          <cell r="AA9">
            <v>24.524652969283999</v>
          </cell>
          <cell r="AB9">
            <v>30.170554707916899</v>
          </cell>
          <cell r="AC9">
            <v>31.080431101580899</v>
          </cell>
          <cell r="AD9">
            <v>7.7272242568413896</v>
          </cell>
          <cell r="AE9">
            <v>2.0813225182084798</v>
          </cell>
          <cell r="AF9">
            <v>7.83660228298411</v>
          </cell>
          <cell r="AG9">
            <v>18.599004805889901</v>
          </cell>
          <cell r="AH9">
            <v>47.1004099547335</v>
          </cell>
          <cell r="AI9">
            <v>66.516666716908205</v>
          </cell>
          <cell r="AJ9">
            <v>18.343153959032399</v>
          </cell>
          <cell r="AK9">
            <v>28.501405148843599</v>
          </cell>
          <cell r="AL9">
            <v>52.8995900452665</v>
          </cell>
          <cell r="AM9">
            <v>19.416256762174701</v>
          </cell>
          <cell r="AN9">
            <v>44.184827248321398</v>
          </cell>
          <cell r="AO9">
            <v>48.7404986061158</v>
          </cell>
          <cell r="AP9">
            <v>50.357462948351802</v>
          </cell>
          <cell r="AQ9">
            <v>24.7685704861468</v>
          </cell>
          <cell r="AR9">
            <v>30.941206186177102</v>
          </cell>
          <cell r="AS9">
            <v>8.7147627969450792</v>
          </cell>
        </row>
        <row r="10">
          <cell r="C10" t="str">
            <v>Antigua and Barbuda</v>
          </cell>
          <cell r="D10" t="str">
            <v>East Caribbean Dollar</v>
          </cell>
          <cell r="E10" t="str">
            <v>XCD</v>
          </cell>
          <cell r="F10">
            <v>1</v>
          </cell>
          <cell r="G10" t="e">
            <v>#N/A</v>
          </cell>
          <cell r="H10" t="e">
            <v>#N/A</v>
          </cell>
          <cell r="I10">
            <v>1.0249999999999999</v>
          </cell>
          <cell r="J10">
            <v>16.446999999999999</v>
          </cell>
          <cell r="K10">
            <v>0</v>
          </cell>
          <cell r="L10">
            <v>4.9000000000000004</v>
          </cell>
          <cell r="M10">
            <v>8.1</v>
          </cell>
          <cell r="N10">
            <v>43.889000000000003</v>
          </cell>
          <cell r="O10">
            <v>47.929000000000002</v>
          </cell>
          <cell r="P10">
            <v>3.3721433616623799</v>
          </cell>
          <cell r="Q10">
            <v>8.3369409191369108</v>
          </cell>
          <cell r="R10">
            <v>25.350315568821301</v>
          </cell>
          <cell r="S10">
            <v>42.956093782041101</v>
          </cell>
          <cell r="T10">
            <v>10.0252910752125</v>
          </cell>
          <cell r="U10">
            <v>17.013374649684401</v>
          </cell>
          <cell r="V10">
            <v>74.649684431178699</v>
          </cell>
          <cell r="W10">
            <v>17.6057782132197</v>
          </cell>
          <cell r="X10">
            <v>53.334548520130298</v>
          </cell>
          <cell r="Y10">
            <v>64.615279454988695</v>
          </cell>
          <cell r="Z10">
            <v>68.297295449884899</v>
          </cell>
          <cell r="AA10">
            <v>35.728770306910597</v>
          </cell>
          <cell r="AB10">
            <v>50.691517236665199</v>
          </cell>
          <cell r="AC10">
            <v>52.828727015881</v>
          </cell>
          <cell r="AD10">
            <v>21.315135911048301</v>
          </cell>
          <cell r="AE10">
            <v>6.3523889812937204</v>
          </cell>
          <cell r="AF10">
            <v>3.048258882931</v>
          </cell>
          <cell r="AG10">
            <v>7.5549249932191396</v>
          </cell>
          <cell r="AH10">
            <v>23.105009493208701</v>
          </cell>
          <cell r="AI10">
            <v>39.721254355400703</v>
          </cell>
          <cell r="AJ10">
            <v>9.1656408437480401</v>
          </cell>
          <cell r="AK10">
            <v>15.5500844999896</v>
          </cell>
          <cell r="AL10">
            <v>76.894990506791302</v>
          </cell>
          <cell r="AM10">
            <v>16.616244862192001</v>
          </cell>
          <cell r="AN10">
            <v>53.927684700285802</v>
          </cell>
          <cell r="AO10">
            <v>65.486448705376702</v>
          </cell>
          <cell r="AP10">
            <v>68.987460618832003</v>
          </cell>
          <cell r="AQ10">
            <v>37.311439838093797</v>
          </cell>
          <cell r="AR10">
            <v>52.371215756639998</v>
          </cell>
          <cell r="AS10">
            <v>22.9673058065055</v>
          </cell>
        </row>
        <row r="11">
          <cell r="C11" t="str">
            <v>Argentina</v>
          </cell>
          <cell r="D11" t="str">
            <v>Argentine Peso</v>
          </cell>
          <cell r="E11" t="str">
            <v>ARS</v>
          </cell>
          <cell r="F11">
            <v>1</v>
          </cell>
          <cell r="G11" t="e">
            <v>#N/A</v>
          </cell>
          <cell r="H11" t="e">
            <v>#N/A</v>
          </cell>
          <cell r="I11">
            <v>1.0369999999999999</v>
          </cell>
          <cell r="J11">
            <v>17.716000000000001</v>
          </cell>
          <cell r="K11">
            <v>52</v>
          </cell>
          <cell r="L11">
            <v>6.3</v>
          </cell>
          <cell r="M11">
            <v>12.5</v>
          </cell>
          <cell r="N11">
            <v>21244.702000000001</v>
          </cell>
          <cell r="O11">
            <v>22172.053</v>
          </cell>
          <cell r="P11">
            <v>3.5998904573949799</v>
          </cell>
          <cell r="Q11">
            <v>8.9044270896339306</v>
          </cell>
          <cell r="R11">
            <v>26.187041832829699</v>
          </cell>
          <cell r="S11">
            <v>42.6644628858527</v>
          </cell>
          <cell r="T11">
            <v>10.439882847027</v>
          </cell>
          <cell r="U11">
            <v>17.282614743195701</v>
          </cell>
          <cell r="V11">
            <v>73.812958167170393</v>
          </cell>
          <cell r="W11">
            <v>16.477421053023001</v>
          </cell>
          <cell r="X11">
            <v>51.264847113412102</v>
          </cell>
          <cell r="Y11">
            <v>60.855558246945499</v>
          </cell>
          <cell r="Z11">
            <v>64.843536049599606</v>
          </cell>
          <cell r="AA11">
            <v>34.787426060389102</v>
          </cell>
          <cell r="AB11">
            <v>48.366114996576599</v>
          </cell>
          <cell r="AC11">
            <v>51.606320484043501</v>
          </cell>
          <cell r="AD11">
            <v>22.548111053758301</v>
          </cell>
          <cell r="AE11">
            <v>8.9694221175707707</v>
          </cell>
          <cell r="AF11">
            <v>3.3293082963494598</v>
          </cell>
          <cell r="AG11">
            <v>8.2374915845636796</v>
          </cell>
          <cell r="AH11">
            <v>24.242879087471099</v>
          </cell>
          <cell r="AI11">
            <v>39.551344207954003</v>
          </cell>
          <cell r="AJ11">
            <v>9.6658527742108493</v>
          </cell>
          <cell r="AK11">
            <v>16.0053875029074</v>
          </cell>
          <cell r="AL11">
            <v>75.757120912528904</v>
          </cell>
          <cell r="AM11">
            <v>15.308465120483</v>
          </cell>
          <cell r="AN11">
            <v>48.729172711250499</v>
          </cell>
          <cell r="AO11">
            <v>58.588602507850702</v>
          </cell>
          <cell r="AP11">
            <v>62.955293314516197</v>
          </cell>
          <cell r="AQ11">
            <v>33.420707590767499</v>
          </cell>
          <cell r="AR11">
            <v>47.646828194033297</v>
          </cell>
          <cell r="AS11">
            <v>27.027948201278399</v>
          </cell>
        </row>
        <row r="12">
          <cell r="C12" t="str">
            <v>Armenia</v>
          </cell>
          <cell r="D12" t="str">
            <v>Armenian Dram</v>
          </cell>
          <cell r="E12" t="str">
            <v>AMD</v>
          </cell>
          <cell r="F12">
            <v>1</v>
          </cell>
          <cell r="G12" t="e">
            <v>#N/A</v>
          </cell>
          <cell r="H12" t="e">
            <v>#N/A</v>
          </cell>
          <cell r="I12">
            <v>0.36299999999999999</v>
          </cell>
          <cell r="J12">
            <v>13.308</v>
          </cell>
          <cell r="K12">
            <v>25</v>
          </cell>
          <cell r="L12">
            <v>7.4</v>
          </cell>
          <cell r="M12">
            <v>14.1</v>
          </cell>
          <cell r="N12">
            <v>1399.511</v>
          </cell>
          <cell r="O12">
            <v>1618.201</v>
          </cell>
          <cell r="P12">
            <v>3.02834347139822</v>
          </cell>
          <cell r="Q12">
            <v>7.6143738777330103</v>
          </cell>
          <cell r="R12">
            <v>20.528527464235701</v>
          </cell>
          <cell r="S12">
            <v>35.566637203994802</v>
          </cell>
          <cell r="T12">
            <v>8.2032224112564993</v>
          </cell>
          <cell r="U12">
            <v>12.9141535865027</v>
          </cell>
          <cell r="V12">
            <v>79.471472535764306</v>
          </cell>
          <cell r="W12">
            <v>15.038109739759101</v>
          </cell>
          <cell r="X12">
            <v>50.777164309533802</v>
          </cell>
          <cell r="Y12">
            <v>65.326389003016104</v>
          </cell>
          <cell r="Z12">
            <v>70.419525105554698</v>
          </cell>
          <cell r="AA12">
            <v>35.739054569774702</v>
          </cell>
          <cell r="AB12">
            <v>55.381415365795597</v>
          </cell>
          <cell r="AC12">
            <v>58.349737872728397</v>
          </cell>
          <cell r="AD12">
            <v>28.6943082262305</v>
          </cell>
          <cell r="AE12">
            <v>9.0519474302095499</v>
          </cell>
          <cell r="AF12">
            <v>2.4347408016680299</v>
          </cell>
          <cell r="AG12">
            <v>6.2217240009121202</v>
          </cell>
          <cell r="AH12">
            <v>16.529096200039401</v>
          </cell>
          <cell r="AI12">
            <v>30.468093889448799</v>
          </cell>
          <cell r="AJ12">
            <v>6.63533145758778</v>
          </cell>
          <cell r="AK12">
            <v>10.3073721991273</v>
          </cell>
          <cell r="AL12">
            <v>83.470903799960595</v>
          </cell>
          <cell r="AM12">
            <v>13.938997689409399</v>
          </cell>
          <cell r="AN12">
            <v>49.720708366883997</v>
          </cell>
          <cell r="AO12">
            <v>65.233243583460904</v>
          </cell>
          <cell r="AP12">
            <v>71.110634587421501</v>
          </cell>
          <cell r="AQ12">
            <v>35.781710677474599</v>
          </cell>
          <cell r="AR12">
            <v>57.171636898012103</v>
          </cell>
          <cell r="AS12">
            <v>33.750195433076598</v>
          </cell>
        </row>
        <row r="13">
          <cell r="C13" t="str">
            <v>Australia</v>
          </cell>
          <cell r="D13" t="str">
            <v>Australian Dollar</v>
          </cell>
          <cell r="E13" t="str">
            <v>AUD</v>
          </cell>
          <cell r="F13">
            <v>1.8631010330578528</v>
          </cell>
          <cell r="G13" t="e">
            <v>#N/A</v>
          </cell>
          <cell r="H13" t="e">
            <v>#N/A</v>
          </cell>
          <cell r="I13">
            <v>1.5669999999999999</v>
          </cell>
          <cell r="J13">
            <v>13.2</v>
          </cell>
          <cell r="K13">
            <v>6</v>
          </cell>
          <cell r="L13">
            <v>2.2000000000000002</v>
          </cell>
          <cell r="M13">
            <v>3.8</v>
          </cell>
          <cell r="N13">
            <v>11975.934999999999</v>
          </cell>
          <cell r="O13">
            <v>11993.038</v>
          </cell>
          <cell r="P13">
            <v>2.5863784330826798</v>
          </cell>
          <cell r="Q13">
            <v>6.6308225620797003</v>
          </cell>
          <cell r="R13">
            <v>19.213664736824299</v>
          </cell>
          <cell r="S13">
            <v>32.882843803009997</v>
          </cell>
          <cell r="T13">
            <v>7.7711510625266396</v>
          </cell>
          <cell r="U13">
            <v>12.5828421747446</v>
          </cell>
          <cell r="V13">
            <v>80.786335263175701</v>
          </cell>
          <cell r="W13">
            <v>13.669179066185601</v>
          </cell>
          <cell r="X13">
            <v>48.6207047716942</v>
          </cell>
          <cell r="Y13">
            <v>61.3844180016007</v>
          </cell>
          <cell r="Z13">
            <v>66.653092222026899</v>
          </cell>
          <cell r="AA13">
            <v>34.951525705508601</v>
          </cell>
          <cell r="AB13">
            <v>52.9839131558413</v>
          </cell>
          <cell r="AC13">
            <v>57.940528234329904</v>
          </cell>
          <cell r="AD13">
            <v>32.165630491481501</v>
          </cell>
          <cell r="AE13">
            <v>14.1332430411488</v>
          </cell>
          <cell r="AF13">
            <v>2.4557914349975398</v>
          </cell>
          <cell r="AG13">
            <v>6.2692038497668401</v>
          </cell>
          <cell r="AH13">
            <v>18.183249315144302</v>
          </cell>
          <cell r="AI13">
            <v>30.940158782120101</v>
          </cell>
          <cell r="AJ13">
            <v>7.3469541245512602</v>
          </cell>
          <cell r="AK13">
            <v>11.9140454653775</v>
          </cell>
          <cell r="AL13">
            <v>81.816750684855705</v>
          </cell>
          <cell r="AM13">
            <v>12.756909466975801</v>
          </cell>
          <cell r="AN13">
            <v>47.577652968330497</v>
          </cell>
          <cell r="AO13">
            <v>60.442900289317798</v>
          </cell>
          <cell r="AP13">
            <v>65.861544005780701</v>
          </cell>
          <cell r="AQ13">
            <v>34.820743501354698</v>
          </cell>
          <cell r="AR13">
            <v>53.104634538804902</v>
          </cell>
          <cell r="AS13">
            <v>34.239097716525201</v>
          </cell>
        </row>
        <row r="14">
          <cell r="C14" t="str">
            <v>Austria</v>
          </cell>
          <cell r="D14" t="str">
            <v>Euro</v>
          </cell>
          <cell r="E14" t="str">
            <v>EUR</v>
          </cell>
          <cell r="F14">
            <v>1.2617355060728741</v>
          </cell>
          <cell r="G14" t="e">
            <v>#N/A</v>
          </cell>
          <cell r="H14" t="e">
            <v>#N/A</v>
          </cell>
          <cell r="I14">
            <v>0.36</v>
          </cell>
          <cell r="J14">
            <v>9.4</v>
          </cell>
          <cell r="K14">
            <v>4</v>
          </cell>
          <cell r="L14">
            <v>2.1</v>
          </cell>
          <cell r="M14">
            <v>3.5</v>
          </cell>
          <cell r="N14">
            <v>4196.3209999999999</v>
          </cell>
          <cell r="O14">
            <v>4348.2650000000003</v>
          </cell>
          <cell r="P14">
            <v>1.99910826650297</v>
          </cell>
          <cell r="Q14">
            <v>4.93954108849156</v>
          </cell>
          <cell r="R14">
            <v>14.792695792338099</v>
          </cell>
          <cell r="S14">
            <v>27.017928323405201</v>
          </cell>
          <cell r="T14">
            <v>5.8186683049271002</v>
          </cell>
          <cell r="U14">
            <v>9.8531547038465401</v>
          </cell>
          <cell r="V14">
            <v>85.207304207661906</v>
          </cell>
          <cell r="W14">
            <v>12.2252325310671</v>
          </cell>
          <cell r="X14">
            <v>47.933558943655598</v>
          </cell>
          <cell r="Y14">
            <v>63.362645517347197</v>
          </cell>
          <cell r="Z14">
            <v>68.664694621788996</v>
          </cell>
          <cell r="AA14">
            <v>35.708326412588598</v>
          </cell>
          <cell r="AB14">
            <v>56.439462090721797</v>
          </cell>
          <cell r="AC14">
            <v>61.3281729400587</v>
          </cell>
          <cell r="AD14">
            <v>37.273745264006301</v>
          </cell>
          <cell r="AE14">
            <v>16.542609585872999</v>
          </cell>
          <cell r="AF14">
            <v>1.8353757188211799</v>
          </cell>
          <cell r="AG14">
            <v>4.5209526098340396</v>
          </cell>
          <cell r="AH14">
            <v>13.64302773635</v>
          </cell>
          <cell r="AI14">
            <v>24.8785895063893</v>
          </cell>
          <cell r="AJ14">
            <v>5.3571022005328599</v>
          </cell>
          <cell r="AK14">
            <v>9.1220751265159805</v>
          </cell>
          <cell r="AL14">
            <v>86.356972263649993</v>
          </cell>
          <cell r="AM14">
            <v>11.2355617700393</v>
          </cell>
          <cell r="AN14">
            <v>45.501182655610897</v>
          </cell>
          <cell r="AO14">
            <v>59.977600261253599</v>
          </cell>
          <cell r="AP14">
            <v>65.458774936670096</v>
          </cell>
          <cell r="AQ14">
            <v>34.2656208855716</v>
          </cell>
          <cell r="AR14">
            <v>54.223213166630799</v>
          </cell>
          <cell r="AS14">
            <v>40.855789608039103</v>
          </cell>
        </row>
        <row r="15">
          <cell r="C15" t="str">
            <v>Azerbaijan</v>
          </cell>
          <cell r="D15" t="str">
            <v>Azerbaijanian Manat</v>
          </cell>
          <cell r="E15" t="str">
            <v>AZN</v>
          </cell>
          <cell r="F15">
            <v>1</v>
          </cell>
          <cell r="G15" t="e">
            <v>#N/A</v>
          </cell>
          <cell r="H15" t="e">
            <v>#N/A</v>
          </cell>
          <cell r="I15">
            <v>1.3879999999999999</v>
          </cell>
          <cell r="J15">
            <v>18.3</v>
          </cell>
          <cell r="K15">
            <v>25</v>
          </cell>
          <cell r="L15">
            <v>18.2</v>
          </cell>
          <cell r="M15">
            <v>31.7</v>
          </cell>
          <cell r="N15">
            <v>4855.5460000000003</v>
          </cell>
          <cell r="O15">
            <v>4898.4219999999996</v>
          </cell>
          <cell r="P15">
            <v>4.8784832848870101</v>
          </cell>
          <cell r="Q15">
            <v>10.4067184205443</v>
          </cell>
          <cell r="R15">
            <v>23.587563581932901</v>
          </cell>
          <cell r="S15">
            <v>40.889901980127497</v>
          </cell>
          <cell r="T15">
            <v>7.9993681452096199</v>
          </cell>
          <cell r="U15">
            <v>13.1808451613886</v>
          </cell>
          <cell r="V15">
            <v>76.412436418067102</v>
          </cell>
          <cell r="W15">
            <v>17.3023383981946</v>
          </cell>
          <cell r="X15">
            <v>54.847817320647401</v>
          </cell>
          <cell r="Y15">
            <v>67.562885821697506</v>
          </cell>
          <cell r="Z15">
            <v>71.722273869921096</v>
          </cell>
          <cell r="AA15">
            <v>37.545478922452801</v>
          </cell>
          <cell r="AB15">
            <v>54.419935471726603</v>
          </cell>
          <cell r="AC15">
            <v>55.627297115504597</v>
          </cell>
          <cell r="AD15">
            <v>21.564619097419701</v>
          </cell>
          <cell r="AE15">
            <v>4.6901625481459801</v>
          </cell>
          <cell r="AF15">
            <v>4.0091074227577801</v>
          </cell>
          <cell r="AG15">
            <v>8.6787132672521903</v>
          </cell>
          <cell r="AH15">
            <v>20.2641381244817</v>
          </cell>
          <cell r="AI15">
            <v>36.0868867565922</v>
          </cell>
          <cell r="AJ15">
            <v>7.0193217325906199</v>
          </cell>
          <cell r="AK15">
            <v>11.5854248572295</v>
          </cell>
          <cell r="AL15">
            <v>79.735861875518296</v>
          </cell>
          <cell r="AM15">
            <v>15.8227486321105</v>
          </cell>
          <cell r="AN15">
            <v>54.827840475973701</v>
          </cell>
          <cell r="AO15">
            <v>68.504898108003005</v>
          </cell>
          <cell r="AP15">
            <v>73.182036990688005</v>
          </cell>
          <cell r="AQ15">
            <v>39.005091843863198</v>
          </cell>
          <cell r="AR15">
            <v>57.359288358577501</v>
          </cell>
          <cell r="AS15">
            <v>24.908021399544602</v>
          </cell>
        </row>
        <row r="16">
          <cell r="C16" t="str">
            <v>Bahamas</v>
          </cell>
          <cell r="D16" t="str">
            <v>Bahamian Dollar</v>
          </cell>
          <cell r="E16" t="str">
            <v>BSD</v>
          </cell>
          <cell r="F16">
            <v>1</v>
          </cell>
          <cell r="G16" t="e">
            <v>#N/A</v>
          </cell>
          <cell r="H16" t="e">
            <v>#N/A</v>
          </cell>
          <cell r="I16">
            <v>1.4530000000000001</v>
          </cell>
          <cell r="J16">
            <v>15.339</v>
          </cell>
          <cell r="K16">
            <v>80</v>
          </cell>
          <cell r="L16">
            <v>6.9</v>
          </cell>
          <cell r="M16">
            <v>12.1</v>
          </cell>
          <cell r="N16">
            <v>189.95699999999999</v>
          </cell>
          <cell r="O16">
            <v>198.06200000000001</v>
          </cell>
          <cell r="P16">
            <v>3.1233384397521502</v>
          </cell>
          <cell r="Q16">
            <v>7.8654642892865203</v>
          </cell>
          <cell r="R16">
            <v>21.8723184720753</v>
          </cell>
          <cell r="S16">
            <v>39.074106245097603</v>
          </cell>
          <cell r="T16">
            <v>8.6530109445821903</v>
          </cell>
          <cell r="U16">
            <v>14.0068541827887</v>
          </cell>
          <cell r="V16">
            <v>78.127681527924693</v>
          </cell>
          <cell r="W16">
            <v>17.2017877730223</v>
          </cell>
          <cell r="X16">
            <v>55.178803623978098</v>
          </cell>
          <cell r="Y16">
            <v>67.012534415683604</v>
          </cell>
          <cell r="Z16">
            <v>71.002911185163001</v>
          </cell>
          <cell r="AA16">
            <v>37.977015850955702</v>
          </cell>
          <cell r="AB16">
            <v>53.801123412140598</v>
          </cell>
          <cell r="AC16">
            <v>56.680722479297899</v>
          </cell>
          <cell r="AD16">
            <v>22.948877903946698</v>
          </cell>
          <cell r="AE16">
            <v>7.1247703427617797</v>
          </cell>
          <cell r="AF16">
            <v>2.8263876967818198</v>
          </cell>
          <cell r="AG16">
            <v>7.1548303056618598</v>
          </cell>
          <cell r="AH16">
            <v>20.008886106370699</v>
          </cell>
          <cell r="AI16">
            <v>36.2548091001808</v>
          </cell>
          <cell r="AJ16">
            <v>7.9268107966192396</v>
          </cell>
          <cell r="AK16">
            <v>12.854055800708901</v>
          </cell>
          <cell r="AL16">
            <v>79.991113893629304</v>
          </cell>
          <cell r="AM16">
            <v>16.245922993810002</v>
          </cell>
          <cell r="AN16">
            <v>53.4443760034737</v>
          </cell>
          <cell r="AO16">
            <v>66.083347638618207</v>
          </cell>
          <cell r="AP16">
            <v>70.602134685098605</v>
          </cell>
          <cell r="AQ16">
            <v>37.198453009663702</v>
          </cell>
          <cell r="AR16">
            <v>54.3562116912886</v>
          </cell>
          <cell r="AS16">
            <v>26.546737890155601</v>
          </cell>
        </row>
        <row r="17">
          <cell r="C17" t="str">
            <v>Bahrain</v>
          </cell>
          <cell r="D17" t="str">
            <v>Bahraini Dinar</v>
          </cell>
          <cell r="E17" t="str">
            <v>BHD</v>
          </cell>
          <cell r="F17">
            <v>0.52598731707317059</v>
          </cell>
          <cell r="G17" t="e">
            <v>#N/A</v>
          </cell>
          <cell r="H17" t="e">
            <v>#N/A</v>
          </cell>
          <cell r="I17">
            <v>1.758</v>
          </cell>
          <cell r="J17">
            <v>15.04</v>
          </cell>
          <cell r="K17">
            <v>15</v>
          </cell>
          <cell r="L17">
            <v>1.1000000000000001</v>
          </cell>
          <cell r="M17">
            <v>6.2</v>
          </cell>
          <cell r="N17">
            <v>853.60699999999997</v>
          </cell>
          <cell r="O17">
            <v>523.63</v>
          </cell>
          <cell r="P17">
            <v>2.5913564438904602</v>
          </cell>
          <cell r="Q17">
            <v>6.5507897662507499</v>
          </cell>
          <cell r="R17">
            <v>17.719864059221599</v>
          </cell>
          <cell r="S17">
            <v>32.590056079671299</v>
          </cell>
          <cell r="T17">
            <v>7.0874535939841197</v>
          </cell>
          <cell r="U17">
            <v>11.169074292970899</v>
          </cell>
          <cell r="V17">
            <v>82.280135940778393</v>
          </cell>
          <cell r="W17">
            <v>14.8701920204497</v>
          </cell>
          <cell r="X17">
            <v>69.996145767314502</v>
          </cell>
          <cell r="Y17">
            <v>78.890402726313198</v>
          </cell>
          <cell r="Z17">
            <v>80.221343077083503</v>
          </cell>
          <cell r="AA17">
            <v>55.125953746864802</v>
          </cell>
          <cell r="AB17">
            <v>65.351151056633796</v>
          </cell>
          <cell r="AC17">
            <v>66.321738223796203</v>
          </cell>
          <cell r="AD17">
            <v>12.2839901734639</v>
          </cell>
          <cell r="AE17">
            <v>2.0587928636948898</v>
          </cell>
          <cell r="AF17">
            <v>4.0895288658021904</v>
          </cell>
          <cell r="AG17">
            <v>10.085365620762801</v>
          </cell>
          <cell r="AH17">
            <v>27.596394400626401</v>
          </cell>
          <cell r="AI17">
            <v>43.421117964975302</v>
          </cell>
          <cell r="AJ17">
            <v>10.9989878349216</v>
          </cell>
          <cell r="AK17">
            <v>17.5110287798637</v>
          </cell>
          <cell r="AL17">
            <v>72.403605599373606</v>
          </cell>
          <cell r="AM17">
            <v>15.824723564348901</v>
          </cell>
          <cell r="AN17">
            <v>59.099364054771499</v>
          </cell>
          <cell r="AO17">
            <v>67.746882340583994</v>
          </cell>
          <cell r="AP17">
            <v>69.418864465366795</v>
          </cell>
          <cell r="AQ17">
            <v>43.274640490422598</v>
          </cell>
          <cell r="AR17">
            <v>53.594140901017902</v>
          </cell>
          <cell r="AS17">
            <v>13.3042415446021</v>
          </cell>
        </row>
        <row r="18">
          <cell r="C18" t="str">
            <v>Bangladesh</v>
          </cell>
          <cell r="D18" t="str">
            <v>Bangladeshi Taka</v>
          </cell>
          <cell r="E18" t="str">
            <v>BDT</v>
          </cell>
          <cell r="F18">
            <v>1</v>
          </cell>
          <cell r="G18" t="e">
            <v>#N/A</v>
          </cell>
          <cell r="H18" t="e">
            <v>#N/A</v>
          </cell>
          <cell r="I18">
            <v>1.2</v>
          </cell>
          <cell r="J18">
            <v>20.141999999999999</v>
          </cell>
          <cell r="K18">
            <v>176</v>
          </cell>
          <cell r="L18">
            <v>23.3</v>
          </cell>
          <cell r="M18">
            <v>37.6</v>
          </cell>
          <cell r="N18">
            <v>81276.964999999997</v>
          </cell>
          <cell r="O18">
            <v>79718.676999999996</v>
          </cell>
          <cell r="P18">
            <v>3.882503486689</v>
          </cell>
          <cell r="Q18">
            <v>9.6322211342414192</v>
          </cell>
          <cell r="R18">
            <v>29.776321003128</v>
          </cell>
          <cell r="S18">
            <v>49.404792612519401</v>
          </cell>
          <cell r="T18">
            <v>11.8703927982547</v>
          </cell>
          <cell r="U18">
            <v>20.144099868886599</v>
          </cell>
          <cell r="V18">
            <v>70.223678996871996</v>
          </cell>
          <cell r="W18">
            <v>19.628471609391401</v>
          </cell>
          <cell r="X18">
            <v>55.407410943555803</v>
          </cell>
          <cell r="Y18">
            <v>63.168838797068801</v>
          </cell>
          <cell r="Z18">
            <v>65.2296748531395</v>
          </cell>
          <cell r="AA18">
            <v>35.778939334164399</v>
          </cell>
          <cell r="AB18">
            <v>45.601203243748103</v>
          </cell>
          <cell r="AC18">
            <v>47.390120927866803</v>
          </cell>
          <cell r="AD18">
            <v>14.8162680533162</v>
          </cell>
          <cell r="AE18">
            <v>4.9940041437324796</v>
          </cell>
          <cell r="AF18">
            <v>3.7909648199505401</v>
          </cell>
          <cell r="AG18">
            <v>9.4113039532755902</v>
          </cell>
          <cell r="AH18">
            <v>29.111190593391299</v>
          </cell>
          <cell r="AI18">
            <v>48.423149320453497</v>
          </cell>
          <cell r="AJ18">
            <v>11.6131330177494</v>
          </cell>
          <cell r="AK18">
            <v>19.6998866401157</v>
          </cell>
          <cell r="AL18">
            <v>70.888809406608701</v>
          </cell>
          <cell r="AM18">
            <v>19.311958727062201</v>
          </cell>
          <cell r="AN18">
            <v>56.451344519929798</v>
          </cell>
          <cell r="AO18">
            <v>63.988574471701298</v>
          </cell>
          <cell r="AP18">
            <v>65.936100520082604</v>
          </cell>
          <cell r="AQ18">
            <v>37.1393857928676</v>
          </cell>
          <cell r="AR18">
            <v>46.624141793020499</v>
          </cell>
          <cell r="AS18">
            <v>14.437464886678899</v>
          </cell>
        </row>
        <row r="19">
          <cell r="C19" t="str">
            <v>Barbados</v>
          </cell>
          <cell r="D19" t="str">
            <v>Barbados Dollar</v>
          </cell>
          <cell r="E19" t="str">
            <v>BBD</v>
          </cell>
          <cell r="F19">
            <v>1</v>
          </cell>
          <cell r="G19" t="e">
            <v>#N/A</v>
          </cell>
          <cell r="H19" t="e">
            <v>#N/A</v>
          </cell>
          <cell r="I19">
            <v>0.33</v>
          </cell>
          <cell r="J19">
            <v>12.188000000000001</v>
          </cell>
          <cell r="K19">
            <v>27</v>
          </cell>
          <cell r="L19">
            <v>8</v>
          </cell>
          <cell r="M19">
            <v>13</v>
          </cell>
          <cell r="N19">
            <v>136.17599999999999</v>
          </cell>
          <cell r="O19">
            <v>148.03899999999999</v>
          </cell>
          <cell r="P19">
            <v>2.5063153565973399</v>
          </cell>
          <cell r="Q19">
            <v>6.4534132299377296</v>
          </cell>
          <cell r="R19">
            <v>20.665168605334301</v>
          </cell>
          <cell r="S19">
            <v>34.1572670661497</v>
          </cell>
          <cell r="T19">
            <v>8.4398131829397194</v>
          </cell>
          <cell r="U19">
            <v>14.2117553753965</v>
          </cell>
          <cell r="V19">
            <v>79.334831394665699</v>
          </cell>
          <cell r="W19">
            <v>13.4920984608154</v>
          </cell>
          <cell r="X19">
            <v>47.456967453883202</v>
          </cell>
          <cell r="Y19">
            <v>61.272911526260103</v>
          </cell>
          <cell r="Z19">
            <v>66.774615203853799</v>
          </cell>
          <cell r="AA19">
            <v>33.964868993067803</v>
          </cell>
          <cell r="AB19">
            <v>53.2825167430384</v>
          </cell>
          <cell r="AC19">
            <v>57.815620961109197</v>
          </cell>
          <cell r="AD19">
            <v>31.8778639407825</v>
          </cell>
          <cell r="AE19">
            <v>12.5602161908119</v>
          </cell>
          <cell r="AF19">
            <v>2.27169867399807</v>
          </cell>
          <cell r="AG19">
            <v>5.7903660521889497</v>
          </cell>
          <cell r="AH19">
            <v>18.170887401292902</v>
          </cell>
          <cell r="AI19">
            <v>30.489938462162002</v>
          </cell>
          <cell r="AJ19">
            <v>7.3622491370517196</v>
          </cell>
          <cell r="AK19">
            <v>12.380521349104001</v>
          </cell>
          <cell r="AL19">
            <v>81.829112598707098</v>
          </cell>
          <cell r="AM19">
            <v>12.3190510608691</v>
          </cell>
          <cell r="AN19">
            <v>45.907497348671598</v>
          </cell>
          <cell r="AO19">
            <v>60.388140962854401</v>
          </cell>
          <cell r="AP19">
            <v>66.189990475482801</v>
          </cell>
          <cell r="AQ19">
            <v>33.588446287802498</v>
          </cell>
          <cell r="AR19">
            <v>53.870939414613702</v>
          </cell>
          <cell r="AS19">
            <v>35.921615250035501</v>
          </cell>
        </row>
        <row r="20">
          <cell r="C20" t="str">
            <v>Belarus</v>
          </cell>
          <cell r="D20" t="str">
            <v>Belarussian Ruble</v>
          </cell>
          <cell r="E20" t="str">
            <v>BYR</v>
          </cell>
          <cell r="F20">
            <v>1</v>
          </cell>
          <cell r="G20" t="e">
            <v>#N/A</v>
          </cell>
          <cell r="H20" t="e">
            <v>#N/A</v>
          </cell>
          <cell r="I20">
            <v>8.0000000000000002E-3</v>
          </cell>
          <cell r="J20">
            <v>12.5</v>
          </cell>
          <cell r="K20">
            <v>4</v>
          </cell>
          <cell r="L20">
            <v>1.9</v>
          </cell>
          <cell r="M20">
            <v>4.5999999999999996</v>
          </cell>
          <cell r="N20">
            <v>4413.5290000000005</v>
          </cell>
          <cell r="O20">
            <v>5082.2969999999996</v>
          </cell>
          <cell r="P20">
            <v>2.88057470563805</v>
          </cell>
          <cell r="Q20">
            <v>6.8410109008006996</v>
          </cell>
          <cell r="R20">
            <v>17.771062566939101</v>
          </cell>
          <cell r="S20">
            <v>30.240834488682399</v>
          </cell>
          <cell r="T20">
            <v>6.85399370888919</v>
          </cell>
          <cell r="U20">
            <v>10.9300516661384</v>
          </cell>
          <cell r="V20">
            <v>82.228937433060906</v>
          </cell>
          <cell r="W20">
            <v>12.4697719217433</v>
          </cell>
          <cell r="X20">
            <v>51.453474079359196</v>
          </cell>
          <cell r="Y20">
            <v>66.960860572118094</v>
          </cell>
          <cell r="Z20">
            <v>72.634121130732296</v>
          </cell>
          <cell r="AA20">
            <v>38.983702157615802</v>
          </cell>
          <cell r="AB20">
            <v>60.164349208989002</v>
          </cell>
          <cell r="AC20">
            <v>63.550256495425799</v>
          </cell>
          <cell r="AD20">
            <v>30.775463353701799</v>
          </cell>
          <cell r="AE20">
            <v>9.5948163023285904</v>
          </cell>
          <cell r="AF20">
            <v>2.3532863191584399</v>
          </cell>
          <cell r="AG20">
            <v>5.5958949270379099</v>
          </cell>
          <cell r="AH20">
            <v>14.5894267887138</v>
          </cell>
          <cell r="AI20">
            <v>24.824759355858198</v>
          </cell>
          <cell r="AJ20">
            <v>5.6364474567306901</v>
          </cell>
          <cell r="AK20">
            <v>8.9935318616759297</v>
          </cell>
          <cell r="AL20">
            <v>85.410573211286106</v>
          </cell>
          <cell r="AM20">
            <v>10.235332567144299</v>
          </cell>
          <cell r="AN20">
            <v>44.821524598031203</v>
          </cell>
          <cell r="AO20">
            <v>60.745702189383998</v>
          </cell>
          <cell r="AP20">
            <v>67.6207037880706</v>
          </cell>
          <cell r="AQ20">
            <v>34.586192030886799</v>
          </cell>
          <cell r="AR20">
            <v>57.385371220926302</v>
          </cell>
          <cell r="AS20">
            <v>40.589048613255002</v>
          </cell>
        </row>
        <row r="21">
          <cell r="C21" t="str">
            <v>Belgium</v>
          </cell>
          <cell r="D21" t="str">
            <v>Euro</v>
          </cell>
          <cell r="E21" t="str">
            <v>EUR</v>
          </cell>
          <cell r="F21">
            <v>1.2617355060728741</v>
          </cell>
          <cell r="G21" t="e">
            <v>#N/A</v>
          </cell>
          <cell r="H21" t="e">
            <v>#N/A</v>
          </cell>
          <cell r="I21">
            <v>0.66400000000000003</v>
          </cell>
          <cell r="J21">
            <v>11.2</v>
          </cell>
          <cell r="K21">
            <v>7</v>
          </cell>
          <cell r="L21">
            <v>2.2000000000000002</v>
          </cell>
          <cell r="M21">
            <v>4.0999999999999996</v>
          </cell>
          <cell r="N21">
            <v>5559.1009999999997</v>
          </cell>
          <cell r="O21">
            <v>5740.0910000000003</v>
          </cell>
          <cell r="P21">
            <v>2.3508837130320202</v>
          </cell>
          <cell r="Q21">
            <v>6.0120512291465804</v>
          </cell>
          <cell r="R21">
            <v>17.620834735688401</v>
          </cell>
          <cell r="S21">
            <v>29.640134259118501</v>
          </cell>
          <cell r="T21">
            <v>7.1409387956793697</v>
          </cell>
          <cell r="U21">
            <v>11.608783506541799</v>
          </cell>
          <cell r="V21">
            <v>82.379165264311595</v>
          </cell>
          <cell r="W21">
            <v>12.019299523430099</v>
          </cell>
          <cell r="X21">
            <v>46.1536496638575</v>
          </cell>
          <cell r="Y21">
            <v>60.408850279928402</v>
          </cell>
          <cell r="Z21">
            <v>66.305091416759694</v>
          </cell>
          <cell r="AA21">
            <v>34.134350140427401</v>
          </cell>
          <cell r="AB21">
            <v>54.285791893329502</v>
          </cell>
          <cell r="AC21">
            <v>59.670511472988203</v>
          </cell>
          <cell r="AD21">
            <v>36.225515600454102</v>
          </cell>
          <cell r="AE21">
            <v>16.074073847552</v>
          </cell>
          <cell r="AF21">
            <v>2.1684325213659501</v>
          </cell>
          <cell r="AG21">
            <v>5.5527865324783203</v>
          </cell>
          <cell r="AH21">
            <v>16.2893759001382</v>
          </cell>
          <cell r="AI21">
            <v>27.499424660689201</v>
          </cell>
          <cell r="AJ21">
            <v>6.6044945977337299</v>
          </cell>
          <cell r="AK21">
            <v>10.736589367659899</v>
          </cell>
          <cell r="AL21">
            <v>83.710624099861803</v>
          </cell>
          <cell r="AM21">
            <v>11.210048760551</v>
          </cell>
          <cell r="AN21">
            <v>43.718766827912702</v>
          </cell>
          <cell r="AO21">
            <v>57.5086004734071</v>
          </cell>
          <cell r="AP21">
            <v>63.402879849814198</v>
          </cell>
          <cell r="AQ21">
            <v>32.508718067361698</v>
          </cell>
          <cell r="AR21">
            <v>52.192831089263201</v>
          </cell>
          <cell r="AS21">
            <v>39.9918572719492</v>
          </cell>
        </row>
        <row r="22">
          <cell r="C22" t="str">
            <v>Belize</v>
          </cell>
          <cell r="D22" t="str">
            <v>Belize Dollar</v>
          </cell>
          <cell r="E22" t="str">
            <v>BZD</v>
          </cell>
          <cell r="F22">
            <v>1</v>
          </cell>
          <cell r="G22" t="e">
            <v>#N/A</v>
          </cell>
          <cell r="H22" t="e">
            <v>#N/A</v>
          </cell>
          <cell r="I22">
            <v>2.2160000000000002</v>
          </cell>
          <cell r="J22">
            <v>23.091999999999999</v>
          </cell>
          <cell r="K22">
            <v>28</v>
          </cell>
          <cell r="L22">
            <v>8.3000000000000007</v>
          </cell>
          <cell r="M22">
            <v>16.5</v>
          </cell>
          <cell r="N22">
            <v>179.10400000000001</v>
          </cell>
          <cell r="O22">
            <v>180.18299999999999</v>
          </cell>
          <cell r="P22">
            <v>4.6029122744327298</v>
          </cell>
          <cell r="Q22">
            <v>11.157204752546001</v>
          </cell>
          <cell r="R22">
            <v>32.955154547078799</v>
          </cell>
          <cell r="S22">
            <v>53.597909594425602</v>
          </cell>
          <cell r="T22">
            <v>12.9561595497588</v>
          </cell>
          <cell r="U22">
            <v>21.797949794532801</v>
          </cell>
          <cell r="V22">
            <v>67.044845452921194</v>
          </cell>
          <cell r="W22">
            <v>20.6427550473468</v>
          </cell>
          <cell r="X22">
            <v>53.789418438449196</v>
          </cell>
          <cell r="Y22">
            <v>61.045537788100802</v>
          </cell>
          <cell r="Z22">
            <v>63.267152045738797</v>
          </cell>
          <cell r="AA22">
            <v>33.1466633911024</v>
          </cell>
          <cell r="AB22">
            <v>42.624396998392001</v>
          </cell>
          <cell r="AC22">
            <v>44.149209397891703</v>
          </cell>
          <cell r="AD22">
            <v>13.255427014472</v>
          </cell>
          <cell r="AE22">
            <v>3.77769340718242</v>
          </cell>
          <cell r="AF22">
            <v>4.5142993512151603</v>
          </cell>
          <cell r="AG22">
            <v>10.8056808910941</v>
          </cell>
          <cell r="AH22">
            <v>31.956399882341799</v>
          </cell>
          <cell r="AI22">
            <v>52.5543475244612</v>
          </cell>
          <cell r="AJ22">
            <v>12.4456802251045</v>
          </cell>
          <cell r="AK22">
            <v>21.1507189912478</v>
          </cell>
          <cell r="AL22">
            <v>68.043600117658201</v>
          </cell>
          <cell r="AM22">
            <v>20.597947642119401</v>
          </cell>
          <cell r="AN22">
            <v>55.043483569482099</v>
          </cell>
          <cell r="AO22">
            <v>62.165132115682397</v>
          </cell>
          <cell r="AP22">
            <v>64.296298762924394</v>
          </cell>
          <cell r="AQ22">
            <v>34.445535927362698</v>
          </cell>
          <cell r="AR22">
            <v>43.698351120805</v>
          </cell>
          <cell r="AS22">
            <v>13.000116548176001</v>
          </cell>
        </row>
        <row r="23">
          <cell r="C23" t="str">
            <v>Benin</v>
          </cell>
          <cell r="D23" t="str">
            <v>CFA Franc BCEAO</v>
          </cell>
          <cell r="E23" t="str">
            <v>XOF</v>
          </cell>
          <cell r="F23">
            <v>1</v>
          </cell>
          <cell r="G23" t="e">
            <v>#N/A</v>
          </cell>
          <cell r="H23" t="e">
            <v>#N/A</v>
          </cell>
          <cell r="I23">
            <v>2.6920000000000002</v>
          </cell>
          <cell r="J23">
            <v>36.44</v>
          </cell>
          <cell r="K23">
            <v>405</v>
          </cell>
          <cell r="L23">
            <v>31.8</v>
          </cell>
          <cell r="M23">
            <v>99.5</v>
          </cell>
          <cell r="N23">
            <v>5425.9489999999996</v>
          </cell>
          <cell r="O23">
            <v>5453.88</v>
          </cell>
          <cell r="P23">
            <v>6.5986060687264096</v>
          </cell>
          <cell r="Q23">
            <v>15.924476990108101</v>
          </cell>
          <cell r="R23">
            <v>42.694632772995099</v>
          </cell>
          <cell r="S23">
            <v>62.740545478772503</v>
          </cell>
          <cell r="T23">
            <v>16.833350258176001</v>
          </cell>
          <cell r="U23">
            <v>26.770155782886999</v>
          </cell>
          <cell r="V23">
            <v>57.305367227004901</v>
          </cell>
          <cell r="W23">
            <v>20.0459127057774</v>
          </cell>
          <cell r="X23">
            <v>48.050930814130403</v>
          </cell>
          <cell r="Y23">
            <v>53.2486022260806</v>
          </cell>
          <cell r="Z23">
            <v>54.885182297142897</v>
          </cell>
          <cell r="AA23">
            <v>28.005018108352999</v>
          </cell>
          <cell r="AB23">
            <v>34.8392695913655</v>
          </cell>
          <cell r="AC23">
            <v>35.912796084150401</v>
          </cell>
          <cell r="AD23">
            <v>9.2544364128744991</v>
          </cell>
          <cell r="AE23">
            <v>2.4201849298620401</v>
          </cell>
          <cell r="AF23">
            <v>6.4069616493212198</v>
          </cell>
          <cell r="AG23">
            <v>15.4693355922756</v>
          </cell>
          <cell r="AH23">
            <v>41.624916573155303</v>
          </cell>
          <cell r="AI23">
            <v>61.5441300505328</v>
          </cell>
          <cell r="AJ23">
            <v>16.409216924464801</v>
          </cell>
          <cell r="AK23">
            <v>26.155580980879702</v>
          </cell>
          <cell r="AL23">
            <v>58.375083426844697</v>
          </cell>
          <cell r="AM23">
            <v>19.9192134773776</v>
          </cell>
          <cell r="AN23">
            <v>47.888109015966599</v>
          </cell>
          <cell r="AO23">
            <v>53.225410166707</v>
          </cell>
          <cell r="AP23">
            <v>55.015346872318403</v>
          </cell>
          <cell r="AQ23">
            <v>27.968895538588999</v>
          </cell>
          <cell r="AR23">
            <v>35.0961333949409</v>
          </cell>
          <cell r="AS23">
            <v>10.4869744108781</v>
          </cell>
        </row>
        <row r="24">
          <cell r="C24" t="str">
            <v>Bhutan</v>
          </cell>
          <cell r="D24" t="str">
            <v>Ngultrum</v>
          </cell>
          <cell r="E24" t="str">
            <v>BTN</v>
          </cell>
          <cell r="F24">
            <v>1</v>
          </cell>
          <cell r="G24" t="e">
            <v>#N/A</v>
          </cell>
          <cell r="H24" t="e">
            <v>#N/A</v>
          </cell>
          <cell r="I24">
            <v>1.4610000000000001</v>
          </cell>
          <cell r="J24">
            <v>18.134</v>
          </cell>
          <cell r="K24">
            <v>148</v>
          </cell>
          <cell r="L24">
            <v>18.3</v>
          </cell>
          <cell r="M24">
            <v>32.9</v>
          </cell>
          <cell r="N24">
            <v>416.28399999999999</v>
          </cell>
          <cell r="O24">
            <v>358.54599999999999</v>
          </cell>
          <cell r="P24">
            <v>3.0373495017824399</v>
          </cell>
          <cell r="Q24">
            <v>8.04859182673367</v>
          </cell>
          <cell r="R24">
            <v>25.3627331341104</v>
          </cell>
          <cell r="S24">
            <v>43.8986365077687</v>
          </cell>
          <cell r="T24">
            <v>10.442870732480699</v>
          </cell>
          <cell r="U24">
            <v>17.314141307376701</v>
          </cell>
          <cell r="V24">
            <v>74.6372668658896</v>
          </cell>
          <cell r="W24">
            <v>18.5359033736584</v>
          </cell>
          <cell r="X24">
            <v>59.648941587954397</v>
          </cell>
          <cell r="Y24">
            <v>66.937955818623806</v>
          </cell>
          <cell r="Z24">
            <v>69.291637439824697</v>
          </cell>
          <cell r="AA24">
            <v>41.113038214295997</v>
          </cell>
          <cell r="AB24">
            <v>50.755734066166397</v>
          </cell>
          <cell r="AC24">
            <v>52.756051157382899</v>
          </cell>
          <cell r="AD24">
            <v>14.988325277935299</v>
          </cell>
          <cell r="AE24">
            <v>5.3456294260649004</v>
          </cell>
          <cell r="AF24">
            <v>3.4098832506847101</v>
          </cell>
          <cell r="AG24">
            <v>9.0445856319691202</v>
          </cell>
          <cell r="AH24">
            <v>28.609718139373999</v>
          </cell>
          <cell r="AI24">
            <v>49.2625771867487</v>
          </cell>
          <cell r="AJ24">
            <v>11.785656512692899</v>
          </cell>
          <cell r="AK24">
            <v>19.565132507404901</v>
          </cell>
          <cell r="AL24">
            <v>71.390281860626004</v>
          </cell>
          <cell r="AM24">
            <v>20.652859047374701</v>
          </cell>
          <cell r="AN24">
            <v>57.764415165697002</v>
          </cell>
          <cell r="AO24">
            <v>64.440267078701197</v>
          </cell>
          <cell r="AP24">
            <v>66.655882369347296</v>
          </cell>
          <cell r="AQ24">
            <v>37.111556118322298</v>
          </cell>
          <cell r="AR24">
            <v>46.003023321972599</v>
          </cell>
          <cell r="AS24">
            <v>13.625866694929</v>
          </cell>
        </row>
        <row r="25">
          <cell r="C25" t="str">
            <v>Bolivia (Plurinational State of)</v>
          </cell>
          <cell r="D25" t="str">
            <v>Boliviano</v>
          </cell>
          <cell r="E25" t="str">
            <v>BOB</v>
          </cell>
          <cell r="F25">
            <v>1</v>
          </cell>
          <cell r="G25" t="e">
            <v>#N/A</v>
          </cell>
          <cell r="H25" t="e">
            <v>#N/A</v>
          </cell>
          <cell r="I25">
            <v>1.5629999999999999</v>
          </cell>
          <cell r="J25">
            <v>24.236000000000001</v>
          </cell>
          <cell r="K25">
            <v>206</v>
          </cell>
          <cell r="L25">
            <v>19.600000000000001</v>
          </cell>
          <cell r="M25">
            <v>38.4</v>
          </cell>
          <cell r="N25">
            <v>5370.7150000000001</v>
          </cell>
          <cell r="O25">
            <v>5353.99</v>
          </cell>
          <cell r="P25">
            <v>4.5467316735295</v>
          </cell>
          <cell r="Q25">
            <v>11.2597857082344</v>
          </cell>
          <cell r="R25">
            <v>32.984397794334598</v>
          </cell>
          <cell r="S25">
            <v>52.483309950351099</v>
          </cell>
          <cell r="T25">
            <v>13.165137230331499</v>
          </cell>
          <cell r="U25">
            <v>21.724612086100301</v>
          </cell>
          <cell r="V25">
            <v>67.015602205665303</v>
          </cell>
          <cell r="W25">
            <v>19.498912156016502</v>
          </cell>
          <cell r="X25">
            <v>51.507424989037801</v>
          </cell>
          <cell r="Y25">
            <v>58.302758571251701</v>
          </cell>
          <cell r="Z25">
            <v>60.971751433468299</v>
          </cell>
          <cell r="AA25">
            <v>32.0085128330213</v>
          </cell>
          <cell r="AB25">
            <v>41.472839277451897</v>
          </cell>
          <cell r="AC25">
            <v>43.494935031927803</v>
          </cell>
          <cell r="AD25">
            <v>15.508177216627599</v>
          </cell>
          <cell r="AE25">
            <v>6.0438507721969996</v>
          </cell>
          <cell r="AF25">
            <v>4.37240263803257</v>
          </cell>
          <cell r="AG25">
            <v>10.848582085510101</v>
          </cell>
          <cell r="AH25">
            <v>31.904392798641801</v>
          </cell>
          <cell r="AI25">
            <v>50.969613316423803</v>
          </cell>
          <cell r="AJ25">
            <v>12.7461015056061</v>
          </cell>
          <cell r="AK25">
            <v>21.055810713131699</v>
          </cell>
          <cell r="AL25">
            <v>68.095607201358305</v>
          </cell>
          <cell r="AM25">
            <v>19.065220517782102</v>
          </cell>
          <cell r="AN25">
            <v>51.317428684028201</v>
          </cell>
          <cell r="AO25">
            <v>58.376463161119098</v>
          </cell>
          <cell r="AP25">
            <v>61.207267850705797</v>
          </cell>
          <cell r="AQ25">
            <v>32.252208166246099</v>
          </cell>
          <cell r="AR25">
            <v>42.142047332923703</v>
          </cell>
          <cell r="AS25">
            <v>16.778178517330101</v>
          </cell>
        </row>
        <row r="26">
          <cell r="C26" t="str">
            <v>Bosnia and Herzegovina</v>
          </cell>
          <cell r="D26" t="str">
            <v>Convertible Marks</v>
          </cell>
          <cell r="E26" t="str">
            <v>BAM</v>
          </cell>
          <cell r="F26">
            <v>1</v>
          </cell>
          <cell r="G26" t="e">
            <v>#N/A</v>
          </cell>
          <cell r="H26" t="e">
            <v>#N/A</v>
          </cell>
          <cell r="I26">
            <v>-0.13</v>
          </cell>
          <cell r="J26">
            <v>9.0619999999999994</v>
          </cell>
          <cell r="K26">
            <v>11</v>
          </cell>
          <cell r="L26">
            <v>4</v>
          </cell>
          <cell r="M26">
            <v>5.4</v>
          </cell>
          <cell r="N26">
            <v>1896.451</v>
          </cell>
          <cell r="O26">
            <v>1913.9649999999999</v>
          </cell>
          <cell r="P26">
            <v>1.7524839819220199</v>
          </cell>
          <cell r="Q26">
            <v>4.6875980449798096</v>
          </cell>
          <cell r="R26">
            <v>13.973363930837101</v>
          </cell>
          <cell r="S26">
            <v>26.1185762247482</v>
          </cell>
          <cell r="T26">
            <v>5.6696429277634897</v>
          </cell>
          <cell r="U26">
            <v>9.2857658858573195</v>
          </cell>
          <cell r="V26">
            <v>86.026636069162905</v>
          </cell>
          <cell r="W26">
            <v>12.145212293911101</v>
          </cell>
          <cell r="X26">
            <v>50.091196661553603</v>
          </cell>
          <cell r="Y26">
            <v>66.002338051444497</v>
          </cell>
          <cell r="Z26">
            <v>72.813956173926996</v>
          </cell>
          <cell r="AA26">
            <v>37.945984367642502</v>
          </cell>
          <cell r="AB26">
            <v>60.668743880015903</v>
          </cell>
          <cell r="AC26">
            <v>65.823213992874102</v>
          </cell>
          <cell r="AD26">
            <v>35.935439407609302</v>
          </cell>
          <cell r="AE26">
            <v>13.212679895235899</v>
          </cell>
          <cell r="AF26">
            <v>1.6325794881306599</v>
          </cell>
          <cell r="AG26">
            <v>4.36747798418466</v>
          </cell>
          <cell r="AH26">
            <v>13.0271452194789</v>
          </cell>
          <cell r="AI26">
            <v>24.357237462545001</v>
          </cell>
          <cell r="AJ26">
            <v>5.2861990684260096</v>
          </cell>
          <cell r="AK26">
            <v>8.6596672352942701</v>
          </cell>
          <cell r="AL26">
            <v>86.972854780521104</v>
          </cell>
          <cell r="AM26">
            <v>11.330092243066099</v>
          </cell>
          <cell r="AN26">
            <v>46.961255822337399</v>
          </cell>
          <cell r="AO26">
            <v>62.270156455316602</v>
          </cell>
          <cell r="AP26">
            <v>69.318038731115806</v>
          </cell>
          <cell r="AQ26">
            <v>35.631163579271302</v>
          </cell>
          <cell r="AR26">
            <v>57.987946488049701</v>
          </cell>
          <cell r="AS26">
            <v>40.011598958183697</v>
          </cell>
        </row>
        <row r="27">
          <cell r="C27" t="str">
            <v>Botswana</v>
          </cell>
          <cell r="D27" t="str">
            <v>Pula</v>
          </cell>
          <cell r="E27" t="str">
            <v>BWP</v>
          </cell>
          <cell r="F27">
            <v>14.185119999999992</v>
          </cell>
          <cell r="G27" t="e">
            <v>#N/A</v>
          </cell>
          <cell r="H27" t="e">
            <v>#N/A</v>
          </cell>
          <cell r="I27">
            <v>1.994</v>
          </cell>
          <cell r="J27">
            <v>25.266999999999999</v>
          </cell>
          <cell r="K27">
            <v>129</v>
          </cell>
          <cell r="L27">
            <v>21.9</v>
          </cell>
          <cell r="M27">
            <v>43.6</v>
          </cell>
          <cell r="N27">
            <v>1130.4090000000001</v>
          </cell>
          <cell r="O27">
            <v>1132.076</v>
          </cell>
          <cell r="P27">
            <v>4.96024005470586</v>
          </cell>
          <cell r="Q27">
            <v>11.8966674893777</v>
          </cell>
          <cell r="R27">
            <v>32.315206266050602</v>
          </cell>
          <cell r="S27">
            <v>51.928018973663498</v>
          </cell>
          <cell r="T27">
            <v>12.5656289006899</v>
          </cell>
          <cell r="U27">
            <v>20.4185387766729</v>
          </cell>
          <cell r="V27">
            <v>67.684793733949405</v>
          </cell>
          <cell r="W27">
            <v>19.6128127076129</v>
          </cell>
          <cell r="X27">
            <v>56.449214399390002</v>
          </cell>
          <cell r="Y27">
            <v>62.450139728186898</v>
          </cell>
          <cell r="Z27">
            <v>64.584676873591803</v>
          </cell>
          <cell r="AA27">
            <v>36.836401691777098</v>
          </cell>
          <cell r="AB27">
            <v>44.9718641659789</v>
          </cell>
          <cell r="AC27">
            <v>46.302886831226601</v>
          </cell>
          <cell r="AD27">
            <v>11.2355793345594</v>
          </cell>
          <cell r="AE27">
            <v>3.1001168603576201</v>
          </cell>
          <cell r="AF27">
            <v>4.8458760719244998</v>
          </cell>
          <cell r="AG27">
            <v>11.640649567696901</v>
          </cell>
          <cell r="AH27">
            <v>31.681441881993798</v>
          </cell>
          <cell r="AI27">
            <v>51.010974528211896</v>
          </cell>
          <cell r="AJ27">
            <v>12.3310625788375</v>
          </cell>
          <cell r="AK27">
            <v>20.040792314296901</v>
          </cell>
          <cell r="AL27">
            <v>68.318558118006194</v>
          </cell>
          <cell r="AM27">
            <v>19.329532646218102</v>
          </cell>
          <cell r="AN27">
            <v>55.473042445913499</v>
          </cell>
          <cell r="AO27">
            <v>61.840901140912798</v>
          </cell>
          <cell r="AP27">
            <v>64.223250029149995</v>
          </cell>
          <cell r="AQ27">
            <v>36.143509799695401</v>
          </cell>
          <cell r="AR27">
            <v>44.893717382931897</v>
          </cell>
          <cell r="AS27">
            <v>12.8455156720927</v>
          </cell>
        </row>
        <row r="28">
          <cell r="C28" t="str">
            <v>Brazil</v>
          </cell>
          <cell r="D28" t="str">
            <v>Brazilian Real</v>
          </cell>
          <cell r="E28" t="str">
            <v>BRL</v>
          </cell>
          <cell r="F28">
            <v>4.6649083739837387</v>
          </cell>
          <cell r="G28" t="e">
            <v>#N/A</v>
          </cell>
          <cell r="H28" t="e">
            <v>#N/A</v>
          </cell>
          <cell r="I28">
            <v>0.90900000000000003</v>
          </cell>
          <cell r="J28">
            <v>14.930999999999999</v>
          </cell>
          <cell r="K28">
            <v>44</v>
          </cell>
          <cell r="L28">
            <v>8.9</v>
          </cell>
          <cell r="M28">
            <v>16.399999999999999</v>
          </cell>
          <cell r="N28">
            <v>102200.738</v>
          </cell>
          <cell r="O28">
            <v>105646.79</v>
          </cell>
          <cell r="P28">
            <v>3.1086673757678698</v>
          </cell>
          <cell r="Q28">
            <v>7.5059330784871596</v>
          </cell>
          <cell r="R28">
            <v>23.878503695345099</v>
          </cell>
          <cell r="S28">
            <v>40.833990846524003</v>
          </cell>
          <cell r="T28">
            <v>9.3530087815999892</v>
          </cell>
          <cell r="U28">
            <v>16.372570616857999</v>
          </cell>
          <cell r="V28">
            <v>76.121496304654798</v>
          </cell>
          <cell r="W28">
            <v>16.9554871511789</v>
          </cell>
          <cell r="X28">
            <v>55.186422430726502</v>
          </cell>
          <cell r="Y28">
            <v>65.626277571498505</v>
          </cell>
          <cell r="Z28">
            <v>69.307781319543906</v>
          </cell>
          <cell r="AA28">
            <v>38.230935279547602</v>
          </cell>
          <cell r="AB28">
            <v>52.352294168364999</v>
          </cell>
          <cell r="AC28">
            <v>55.008215302711399</v>
          </cell>
          <cell r="AD28">
            <v>20.935073873928399</v>
          </cell>
          <cell r="AE28">
            <v>6.8137149851109697</v>
          </cell>
          <cell r="AF28">
            <v>2.8832149088486299</v>
          </cell>
          <cell r="AG28">
            <v>6.9676362149763396</v>
          </cell>
          <cell r="AH28">
            <v>22.204542135165699</v>
          </cell>
          <cell r="AI28">
            <v>38.111336842321499</v>
          </cell>
          <cell r="AJ28">
            <v>8.6994749201561206</v>
          </cell>
          <cell r="AK28">
            <v>15.236905920189299</v>
          </cell>
          <cell r="AL28">
            <v>77.795457864834304</v>
          </cell>
          <cell r="AM28">
            <v>15.9067947071558</v>
          </cell>
          <cell r="AN28">
            <v>53.715436124467203</v>
          </cell>
          <cell r="AO28">
            <v>64.860446777417494</v>
          </cell>
          <cell r="AP28">
            <v>68.953451401599594</v>
          </cell>
          <cell r="AQ28">
            <v>37.808641417311399</v>
          </cell>
          <cell r="AR28">
            <v>53.046656694443797</v>
          </cell>
          <cell r="AS28">
            <v>24.080021740367101</v>
          </cell>
        </row>
        <row r="29">
          <cell r="C29" t="str">
            <v>Brunei Darussalam</v>
          </cell>
          <cell r="D29" t="str">
            <v>Brunei Dollar</v>
          </cell>
          <cell r="E29" t="str">
            <v>BND</v>
          </cell>
          <cell r="F29">
            <v>1.9239059307359307</v>
          </cell>
          <cell r="G29" t="e">
            <v>#N/A</v>
          </cell>
          <cell r="H29" t="e">
            <v>#N/A</v>
          </cell>
          <cell r="I29">
            <v>1.4650000000000001</v>
          </cell>
          <cell r="J29">
            <v>16.405000000000001</v>
          </cell>
          <cell r="K29">
            <v>23</v>
          </cell>
          <cell r="L29">
            <v>4.3</v>
          </cell>
          <cell r="M29">
            <v>10.199999999999999</v>
          </cell>
          <cell r="N29">
            <v>218.02699999999999</v>
          </cell>
          <cell r="O29">
            <v>205.161</v>
          </cell>
          <cell r="P29">
            <v>3.4326023841083901</v>
          </cell>
          <cell r="Q29">
            <v>7.9494741476973001</v>
          </cell>
          <cell r="R29">
            <v>23.065950547409301</v>
          </cell>
          <cell r="S29">
            <v>39.869832635407498</v>
          </cell>
          <cell r="T29">
            <v>8.7044265159819698</v>
          </cell>
          <cell r="U29">
            <v>15.116476399712001</v>
          </cell>
          <cell r="V29">
            <v>76.934049452590699</v>
          </cell>
          <cell r="W29">
            <v>16.8038820879983</v>
          </cell>
          <cell r="X29">
            <v>59.290821778953998</v>
          </cell>
          <cell r="Y29">
            <v>69.708797534250394</v>
          </cell>
          <cell r="Z29">
            <v>72.867580620748797</v>
          </cell>
          <cell r="AA29">
            <v>42.486939690955701</v>
          </cell>
          <cell r="AB29">
            <v>56.0636985327505</v>
          </cell>
          <cell r="AC29">
            <v>57.841918661450201</v>
          </cell>
          <cell r="AD29">
            <v>17.643227673636702</v>
          </cell>
          <cell r="AE29">
            <v>4.06646883184193</v>
          </cell>
          <cell r="AF29">
            <v>3.5104137725981102</v>
          </cell>
          <cell r="AG29">
            <v>8.0185805294378607</v>
          </cell>
          <cell r="AH29">
            <v>23.153035908384201</v>
          </cell>
          <cell r="AI29">
            <v>39.872100447940902</v>
          </cell>
          <cell r="AJ29">
            <v>8.6688015753481409</v>
          </cell>
          <cell r="AK29">
            <v>15.134455378946299</v>
          </cell>
          <cell r="AL29">
            <v>76.846964091615902</v>
          </cell>
          <cell r="AM29">
            <v>16.719064539556701</v>
          </cell>
          <cell r="AN29">
            <v>58.559375319870703</v>
          </cell>
          <cell r="AO29">
            <v>68.785977841792501</v>
          </cell>
          <cell r="AP29">
            <v>72.052193155619193</v>
          </cell>
          <cell r="AQ29">
            <v>41.840310780313999</v>
          </cell>
          <cell r="AR29">
            <v>55.333128616062503</v>
          </cell>
          <cell r="AS29">
            <v>18.287588771745099</v>
          </cell>
        </row>
        <row r="30">
          <cell r="C30" t="str">
            <v>Bulgaria</v>
          </cell>
          <cell r="D30" t="str">
            <v>Bulgarian Lev</v>
          </cell>
          <cell r="E30" t="str">
            <v>BGN</v>
          </cell>
          <cell r="F30">
            <v>1</v>
          </cell>
          <cell r="G30" t="e">
            <v>#N/A</v>
          </cell>
          <cell r="H30" t="e">
            <v>#N/A</v>
          </cell>
          <cell r="I30">
            <v>-0.70799999999999996</v>
          </cell>
          <cell r="J30">
            <v>9.1999999999999993</v>
          </cell>
          <cell r="K30">
            <v>11</v>
          </cell>
          <cell r="L30">
            <v>5.6</v>
          </cell>
          <cell r="M30">
            <v>10.4</v>
          </cell>
          <cell r="N30">
            <v>3473.4059999999999</v>
          </cell>
          <cell r="O30">
            <v>3676.3809999999999</v>
          </cell>
          <cell r="P30">
            <v>1.8448750304456201</v>
          </cell>
          <cell r="Q30">
            <v>4.9847901454652899</v>
          </cell>
          <cell r="R30">
            <v>14.9608194377507</v>
          </cell>
          <cell r="S30">
            <v>25.2279174965437</v>
          </cell>
          <cell r="T30">
            <v>6.25823759157438</v>
          </cell>
          <cell r="U30">
            <v>9.9760292922854408</v>
          </cell>
          <cell r="V30">
            <v>85.0391805622493</v>
          </cell>
          <cell r="W30">
            <v>10.267098058793</v>
          </cell>
          <cell r="X30">
            <v>47.9212910900713</v>
          </cell>
          <cell r="Y30">
            <v>61.777632675247297</v>
          </cell>
          <cell r="Z30">
            <v>68.378790155829705</v>
          </cell>
          <cell r="AA30">
            <v>37.654193031278197</v>
          </cell>
          <cell r="AB30">
            <v>58.111692097036702</v>
          </cell>
          <cell r="AC30">
            <v>64.150951544391901</v>
          </cell>
          <cell r="AD30">
            <v>37.117889472178</v>
          </cell>
          <cell r="AE30">
            <v>16.660390406419499</v>
          </cell>
          <cell r="AF30">
            <v>1.6362286716202701</v>
          </cell>
          <cell r="AG30">
            <v>4.4577534265354997</v>
          </cell>
          <cell r="AH30">
            <v>13.372308256407599</v>
          </cell>
          <cell r="AI30">
            <v>22.539176434651399</v>
          </cell>
          <cell r="AJ30">
            <v>5.6176440907512104</v>
          </cell>
          <cell r="AK30">
            <v>8.9145548298721007</v>
          </cell>
          <cell r="AL30">
            <v>86.627691743592393</v>
          </cell>
          <cell r="AM30">
            <v>9.1668681782437709</v>
          </cell>
          <cell r="AN30">
            <v>42.693561956717801</v>
          </cell>
          <cell r="AO30">
            <v>56.215800266620903</v>
          </cell>
          <cell r="AP30">
            <v>63.419025394810802</v>
          </cell>
          <cell r="AQ30">
            <v>33.526693778473998</v>
          </cell>
          <cell r="AR30">
            <v>54.252157216567099</v>
          </cell>
          <cell r="AS30">
            <v>43.934129786874699</v>
          </cell>
        </row>
        <row r="31">
          <cell r="C31" t="str">
            <v>Burkina Faso</v>
          </cell>
          <cell r="D31" t="str">
            <v>CFA Franc BCEAO</v>
          </cell>
          <cell r="E31" t="str">
            <v>XOF</v>
          </cell>
          <cell r="F31">
            <v>1</v>
          </cell>
          <cell r="G31" t="e">
            <v>#N/A</v>
          </cell>
          <cell r="H31" t="e">
            <v>#N/A</v>
          </cell>
          <cell r="I31">
            <v>2.9380000000000002</v>
          </cell>
          <cell r="J31">
            <v>40.551000000000002</v>
          </cell>
          <cell r="K31">
            <v>371</v>
          </cell>
          <cell r="L31">
            <v>26.7</v>
          </cell>
          <cell r="M31">
            <v>88.6</v>
          </cell>
          <cell r="N31">
            <v>8984.1749999999993</v>
          </cell>
          <cell r="O31">
            <v>9121.3950000000004</v>
          </cell>
          <cell r="P31">
            <v>7.3489775076732098</v>
          </cell>
          <cell r="Q31">
            <v>17.686665720558601</v>
          </cell>
          <cell r="R31">
            <v>46.380073852078802</v>
          </cell>
          <cell r="S31">
            <v>66.790951868145896</v>
          </cell>
          <cell r="T31">
            <v>18.260419014545</v>
          </cell>
          <cell r="U31">
            <v>28.693408131520101</v>
          </cell>
          <cell r="V31">
            <v>53.619926147921198</v>
          </cell>
          <cell r="W31">
            <v>20.410878016067102</v>
          </cell>
          <cell r="X31">
            <v>46.526097276600197</v>
          </cell>
          <cell r="Y31">
            <v>50.541201612835899</v>
          </cell>
          <cell r="Z31">
            <v>51.731327584335801</v>
          </cell>
          <cell r="AA31">
            <v>26.115219260533099</v>
          </cell>
          <cell r="AB31">
            <v>31.3204495682686</v>
          </cell>
          <cell r="AC31">
            <v>32.1739614377503</v>
          </cell>
          <cell r="AD31">
            <v>7.0938288713209596</v>
          </cell>
          <cell r="AE31">
            <v>1.8885985635854099</v>
          </cell>
          <cell r="AF31">
            <v>7.02311433722583</v>
          </cell>
          <cell r="AG31">
            <v>17.046855223351301</v>
          </cell>
          <cell r="AH31">
            <v>44.776210217844998</v>
          </cell>
          <cell r="AI31">
            <v>64.256509009860906</v>
          </cell>
          <cell r="AJ31">
            <v>17.747548483537901</v>
          </cell>
          <cell r="AK31">
            <v>27.729354994493701</v>
          </cell>
          <cell r="AL31">
            <v>55.223789782155002</v>
          </cell>
          <cell r="AM31">
            <v>19.480298792015901</v>
          </cell>
          <cell r="AN31">
            <v>45.812937604390498</v>
          </cell>
          <cell r="AO31">
            <v>50.670670440212298</v>
          </cell>
          <cell r="AP31">
            <v>52.333365674877598</v>
          </cell>
          <cell r="AQ31">
            <v>26.332638812374601</v>
          </cell>
          <cell r="AR31">
            <v>32.853066882861697</v>
          </cell>
          <cell r="AS31">
            <v>9.41085217776447</v>
          </cell>
        </row>
        <row r="32">
          <cell r="C32" t="str">
            <v>Burundi</v>
          </cell>
          <cell r="D32" t="str">
            <v>Burundian Franc</v>
          </cell>
          <cell r="E32" t="str">
            <v>BIF</v>
          </cell>
          <cell r="F32">
            <v>1</v>
          </cell>
          <cell r="G32" t="e">
            <v>#N/A</v>
          </cell>
          <cell r="H32" t="e">
            <v>#N/A</v>
          </cell>
          <cell r="I32">
            <v>3.3370000000000002</v>
          </cell>
          <cell r="J32">
            <v>44.151000000000003</v>
          </cell>
          <cell r="K32">
            <v>712</v>
          </cell>
          <cell r="L32">
            <v>28.6</v>
          </cell>
          <cell r="M32">
            <v>81.7</v>
          </cell>
          <cell r="N32">
            <v>5524.232</v>
          </cell>
          <cell r="O32">
            <v>5654.6890000000003</v>
          </cell>
          <cell r="P32">
            <v>7.9614686711202598</v>
          </cell>
          <cell r="Q32">
            <v>18.777741412743001</v>
          </cell>
          <cell r="R32">
            <v>45.336401512463702</v>
          </cell>
          <cell r="S32">
            <v>64.389692540067102</v>
          </cell>
          <cell r="T32">
            <v>17.490123514001599</v>
          </cell>
          <cell r="U32">
            <v>26.558660099720701</v>
          </cell>
          <cell r="V32">
            <v>54.663598487536397</v>
          </cell>
          <cell r="W32">
            <v>19.0532910276035</v>
          </cell>
          <cell r="X32">
            <v>45.564596128475401</v>
          </cell>
          <cell r="Y32">
            <v>50.628123511105301</v>
          </cell>
          <cell r="Z32">
            <v>52.348344530063201</v>
          </cell>
          <cell r="AA32">
            <v>26.511305100872001</v>
          </cell>
          <cell r="AB32">
            <v>33.295053502459702</v>
          </cell>
          <cell r="AC32">
            <v>34.280765181476802</v>
          </cell>
          <cell r="AD32">
            <v>9.0990023590609592</v>
          </cell>
          <cell r="AE32">
            <v>2.3152539574731898</v>
          </cell>
          <cell r="AF32">
            <v>7.6523925542147397</v>
          </cell>
          <cell r="AG32">
            <v>18.118962864270699</v>
          </cell>
          <cell r="AH32">
            <v>44.278580130578398</v>
          </cell>
          <cell r="AI32">
            <v>63.695952155812599</v>
          </cell>
          <cell r="AJ32">
            <v>17.135407446811001</v>
          </cell>
          <cell r="AK32">
            <v>26.159617266307698</v>
          </cell>
          <cell r="AL32">
            <v>55.721419869421702</v>
          </cell>
          <cell r="AM32">
            <v>19.4173720252343</v>
          </cell>
          <cell r="AN32">
            <v>46.397900927884798</v>
          </cell>
          <cell r="AO32">
            <v>51.386698720300998</v>
          </cell>
          <cell r="AP32">
            <v>53.0977212009361</v>
          </cell>
          <cell r="AQ32">
            <v>26.980528902650502</v>
          </cell>
          <cell r="AR32">
            <v>33.680349175701799</v>
          </cell>
          <cell r="AS32">
            <v>9.3235189415368396</v>
          </cell>
        </row>
        <row r="33">
          <cell r="C33" t="str">
            <v>Cabo Verde</v>
          </cell>
          <cell r="D33" t="str">
            <v>Cape Verde Escudo</v>
          </cell>
          <cell r="E33" t="str">
            <v>CVE</v>
          </cell>
          <cell r="F33">
            <v>1</v>
          </cell>
          <cell r="G33" t="e">
            <v>#N/A</v>
          </cell>
          <cell r="H33" t="e">
            <v>#N/A</v>
          </cell>
          <cell r="I33">
            <v>1.1919999999999999</v>
          </cell>
          <cell r="J33">
            <v>21.625</v>
          </cell>
          <cell r="K33">
            <v>42</v>
          </cell>
          <cell r="L33">
            <v>12.2</v>
          </cell>
          <cell r="M33">
            <v>24.5</v>
          </cell>
          <cell r="N33">
            <v>256.827</v>
          </cell>
          <cell r="O33">
            <v>263.67500000000001</v>
          </cell>
          <cell r="P33">
            <v>4.2553937086053999</v>
          </cell>
          <cell r="Q33">
            <v>10.5650885615609</v>
          </cell>
          <cell r="R33">
            <v>30.4395565886764</v>
          </cell>
          <cell r="S33">
            <v>52.171305976396603</v>
          </cell>
          <cell r="T33">
            <v>12.040400736682701</v>
          </cell>
          <cell r="U33">
            <v>19.874468027115501</v>
          </cell>
          <cell r="V33">
            <v>69.560443411323604</v>
          </cell>
          <cell r="W33">
            <v>21.7317493877201</v>
          </cell>
          <cell r="X33">
            <v>57.856066535060599</v>
          </cell>
          <cell r="Y33">
            <v>63.927468685146103</v>
          </cell>
          <cell r="Z33">
            <v>65.759051813088206</v>
          </cell>
          <cell r="AA33">
            <v>36.124317147340399</v>
          </cell>
          <cell r="AB33">
            <v>44.027302425367999</v>
          </cell>
          <cell r="AC33">
            <v>44.897148664275903</v>
          </cell>
          <cell r="AD33">
            <v>11.704376876263</v>
          </cell>
          <cell r="AE33">
            <v>3.8013915982353899</v>
          </cell>
          <cell r="AF33">
            <v>3.9965867071205099</v>
          </cell>
          <cell r="AG33">
            <v>10.033184791883899</v>
          </cell>
          <cell r="AH33">
            <v>28.882146581966399</v>
          </cell>
          <cell r="AI33">
            <v>50.161752157011499</v>
          </cell>
          <cell r="AJ33">
            <v>11.487626813311801</v>
          </cell>
          <cell r="AK33">
            <v>18.848961790082502</v>
          </cell>
          <cell r="AL33">
            <v>71.117853418033604</v>
          </cell>
          <cell r="AM33">
            <v>21.279605575045</v>
          </cell>
          <cell r="AN33">
            <v>54.997250402958201</v>
          </cell>
          <cell r="AO33">
            <v>63.4269460510098</v>
          </cell>
          <cell r="AP33">
            <v>65.777946335450807</v>
          </cell>
          <cell r="AQ33">
            <v>33.717644827913198</v>
          </cell>
          <cell r="AR33">
            <v>44.498340760405803</v>
          </cell>
          <cell r="AS33">
            <v>16.1206030150754</v>
          </cell>
        </row>
        <row r="34">
          <cell r="C34" t="str">
            <v>Cambodia</v>
          </cell>
          <cell r="D34" t="str">
            <v>Riel</v>
          </cell>
          <cell r="E34" t="str">
            <v>KHR</v>
          </cell>
          <cell r="F34">
            <v>1</v>
          </cell>
          <cell r="G34" t="e">
            <v>#N/A</v>
          </cell>
          <cell r="H34" t="e">
            <v>#N/A</v>
          </cell>
          <cell r="I34">
            <v>1.623</v>
          </cell>
          <cell r="J34">
            <v>24.462</v>
          </cell>
          <cell r="K34">
            <v>161</v>
          </cell>
          <cell r="L34">
            <v>14.8</v>
          </cell>
          <cell r="M34">
            <v>28.7</v>
          </cell>
          <cell r="N34">
            <v>7598.1540000000005</v>
          </cell>
          <cell r="O34">
            <v>7979.7449999999999</v>
          </cell>
          <cell r="P34">
            <v>4.6919686018472397</v>
          </cell>
          <cell r="Q34">
            <v>11.892941364441899</v>
          </cell>
          <cell r="R34">
            <v>32.983524682442599</v>
          </cell>
          <cell r="S34">
            <v>54.584666222874702</v>
          </cell>
          <cell r="T34">
            <v>13.2514160676396</v>
          </cell>
          <cell r="U34">
            <v>21.0905833180007</v>
          </cell>
          <cell r="V34">
            <v>67.016475317557394</v>
          </cell>
          <cell r="W34">
            <v>21.601141540432099</v>
          </cell>
          <cell r="X34">
            <v>54.691415836004403</v>
          </cell>
          <cell r="Y34">
            <v>61.416417724620999</v>
          </cell>
          <cell r="Z34">
            <v>63.622150854010101</v>
          </cell>
          <cell r="AA34">
            <v>33.0902742955723</v>
          </cell>
          <cell r="AB34">
            <v>42.021009313577999</v>
          </cell>
          <cell r="AC34">
            <v>43.470716703030803</v>
          </cell>
          <cell r="AD34">
            <v>12.325059481553</v>
          </cell>
          <cell r="AE34">
            <v>3.39432446354733</v>
          </cell>
          <cell r="AF34">
            <v>4.3705657260977597</v>
          </cell>
          <cell r="AG34">
            <v>10.8764001857202</v>
          </cell>
          <cell r="AH34">
            <v>30.287083108545399</v>
          </cell>
          <cell r="AI34">
            <v>49.942773860568202</v>
          </cell>
          <cell r="AJ34">
            <v>12.0418008344878</v>
          </cell>
          <cell r="AK34">
            <v>19.410682922825199</v>
          </cell>
          <cell r="AL34">
            <v>69.712916891454597</v>
          </cell>
          <cell r="AM34">
            <v>19.655690752022799</v>
          </cell>
          <cell r="AN34">
            <v>53.5065844835894</v>
          </cell>
          <cell r="AO34">
            <v>61.852440146896903</v>
          </cell>
          <cell r="AP34">
            <v>64.905958774371896</v>
          </cell>
          <cell r="AQ34">
            <v>33.8508937315666</v>
          </cell>
          <cell r="AR34">
            <v>45.250268022349097</v>
          </cell>
          <cell r="AS34">
            <v>16.206332407865201</v>
          </cell>
        </row>
        <row r="35">
          <cell r="C35" t="str">
            <v>Cameroon</v>
          </cell>
          <cell r="D35" t="str">
            <v>CFA Franc BEAC</v>
          </cell>
          <cell r="E35" t="str">
            <v>XAF</v>
          </cell>
          <cell r="F35">
            <v>1</v>
          </cell>
          <cell r="G35" t="e">
            <v>#N/A</v>
          </cell>
          <cell r="H35" t="e">
            <v>#N/A</v>
          </cell>
          <cell r="I35">
            <v>2.5099999999999998</v>
          </cell>
          <cell r="J35">
            <v>37.235999999999997</v>
          </cell>
          <cell r="K35">
            <v>596</v>
          </cell>
          <cell r="L35">
            <v>25.7</v>
          </cell>
          <cell r="M35">
            <v>87.9</v>
          </cell>
          <cell r="N35">
            <v>11672.284</v>
          </cell>
          <cell r="O35">
            <v>11671.895</v>
          </cell>
          <cell r="P35">
            <v>6.71079456257233</v>
          </cell>
          <cell r="Q35">
            <v>16.1424362189954</v>
          </cell>
          <cell r="R35">
            <v>42.817318358600602</v>
          </cell>
          <cell r="S35">
            <v>63.179160136953499</v>
          </cell>
          <cell r="T35">
            <v>16.828865713000098</v>
          </cell>
          <cell r="U35">
            <v>26.674882139605199</v>
          </cell>
          <cell r="V35">
            <v>57.182681641399398</v>
          </cell>
          <cell r="W35">
            <v>20.3618417783529</v>
          </cell>
          <cell r="X35">
            <v>48.1579612010811</v>
          </cell>
          <cell r="Y35">
            <v>52.682371333665301</v>
          </cell>
          <cell r="Z35">
            <v>54.253049360348001</v>
          </cell>
          <cell r="AA35">
            <v>27.7961194227282</v>
          </cell>
          <cell r="AB35">
            <v>33.891207581995097</v>
          </cell>
          <cell r="AC35">
            <v>35.092866143421503</v>
          </cell>
          <cell r="AD35">
            <v>9.0247204403182799</v>
          </cell>
          <cell r="AE35">
            <v>2.9296322810514202</v>
          </cell>
          <cell r="AF35">
            <v>6.5901723756082502</v>
          </cell>
          <cell r="AG35">
            <v>15.882031152610599</v>
          </cell>
          <cell r="AH35">
            <v>42.2280443749708</v>
          </cell>
          <cell r="AI35">
            <v>62.415451818235198</v>
          </cell>
          <cell r="AJ35">
            <v>16.620120383193999</v>
          </cell>
          <cell r="AK35">
            <v>26.346013222360199</v>
          </cell>
          <cell r="AL35">
            <v>57.7719556250292</v>
          </cell>
          <cell r="AM35">
            <v>20.187407443264402</v>
          </cell>
          <cell r="AN35">
            <v>47.8751479515537</v>
          </cell>
          <cell r="AO35">
            <v>52.586559423298503</v>
          </cell>
          <cell r="AP35">
            <v>54.2904129963472</v>
          </cell>
          <cell r="AQ35">
            <v>27.687740508289401</v>
          </cell>
          <cell r="AR35">
            <v>34.103005553082902</v>
          </cell>
          <cell r="AS35">
            <v>9.8968076734754806</v>
          </cell>
        </row>
        <row r="36">
          <cell r="C36" t="str">
            <v>Canada</v>
          </cell>
          <cell r="D36" t="str">
            <v>Canadian Dollar</v>
          </cell>
          <cell r="E36" t="str">
            <v>CAD</v>
          </cell>
          <cell r="F36">
            <v>1.7894598340248968</v>
          </cell>
          <cell r="G36" t="e">
            <v>#N/A</v>
          </cell>
          <cell r="H36" t="e">
            <v>#N/A</v>
          </cell>
          <cell r="I36">
            <v>1.036</v>
          </cell>
          <cell r="J36">
            <v>10.9</v>
          </cell>
          <cell r="K36">
            <v>7</v>
          </cell>
          <cell r="L36">
            <v>3.2</v>
          </cell>
          <cell r="M36">
            <v>4.9000000000000004</v>
          </cell>
          <cell r="N36">
            <v>17826.268</v>
          </cell>
          <cell r="O36">
            <v>18113.659</v>
          </cell>
          <cell r="P36">
            <v>2.1620958464217002</v>
          </cell>
          <cell r="Q36">
            <v>5.5826772042246899</v>
          </cell>
          <cell r="R36">
            <v>16.5133049721905</v>
          </cell>
          <cell r="S36">
            <v>29.7546014679012</v>
          </cell>
          <cell r="T36">
            <v>6.6620786807423702</v>
          </cell>
          <cell r="U36">
            <v>10.930627767965801</v>
          </cell>
          <cell r="V36">
            <v>83.486695027809503</v>
          </cell>
          <cell r="W36">
            <v>13.241296495710699</v>
          </cell>
          <cell r="X36">
            <v>47.248470627727599</v>
          </cell>
          <cell r="Y36">
            <v>62.562999726022298</v>
          </cell>
          <cell r="Z36">
            <v>68.730044897787906</v>
          </cell>
          <cell r="AA36">
            <v>34.0071741320169</v>
          </cell>
          <cell r="AB36">
            <v>55.488748402077199</v>
          </cell>
          <cell r="AC36">
            <v>60.779373450460902</v>
          </cell>
          <cell r="AD36">
            <v>36.238224400081997</v>
          </cell>
          <cell r="AE36">
            <v>14.756650130021599</v>
          </cell>
          <cell r="AF36">
            <v>2.0163071414781499</v>
          </cell>
          <cell r="AG36">
            <v>5.2297881946436098</v>
          </cell>
          <cell r="AH36">
            <v>15.439398522407901</v>
          </cell>
          <cell r="AI36">
            <v>27.849569211830701</v>
          </cell>
          <cell r="AJ36">
            <v>6.2469266976926097</v>
          </cell>
          <cell r="AK36">
            <v>10.209610327764301</v>
          </cell>
          <cell r="AL36">
            <v>84.560601477592101</v>
          </cell>
          <cell r="AM36">
            <v>12.410170689422801</v>
          </cell>
          <cell r="AN36">
            <v>45.898694460351699</v>
          </cell>
          <cell r="AO36">
            <v>60.871113892560302</v>
          </cell>
          <cell r="AP36">
            <v>67.067575910532497</v>
          </cell>
          <cell r="AQ36">
            <v>33.4885237709289</v>
          </cell>
          <cell r="AR36">
            <v>54.657405221109599</v>
          </cell>
          <cell r="AS36">
            <v>38.661907017240402</v>
          </cell>
        </row>
        <row r="37">
          <cell r="C37" t="str">
            <v>Central African Republic</v>
          </cell>
          <cell r="D37" t="str">
            <v>CFA Franc BEAC</v>
          </cell>
          <cell r="E37" t="str">
            <v>XAF</v>
          </cell>
          <cell r="F37">
            <v>1</v>
          </cell>
          <cell r="G37" t="e">
            <v>#N/A</v>
          </cell>
          <cell r="H37" t="e">
            <v>#N/A</v>
          </cell>
          <cell r="I37">
            <v>1.95</v>
          </cell>
          <cell r="J37">
            <v>34.076000000000001</v>
          </cell>
          <cell r="K37">
            <v>882</v>
          </cell>
          <cell r="L37">
            <v>42.6</v>
          </cell>
          <cell r="M37">
            <v>130.1</v>
          </cell>
          <cell r="N37">
            <v>2415.4180000000001</v>
          </cell>
          <cell r="O37">
            <v>2484.8560000000002</v>
          </cell>
          <cell r="P37">
            <v>6.2269553344390101</v>
          </cell>
          <cell r="Q37">
            <v>14.6722016644738</v>
          </cell>
          <cell r="R37">
            <v>39.460540577241701</v>
          </cell>
          <cell r="S37">
            <v>60.076019968386397</v>
          </cell>
          <cell r="T37">
            <v>15.2309869347666</v>
          </cell>
          <cell r="U37">
            <v>24.788338912767902</v>
          </cell>
          <cell r="V37">
            <v>60.539459422758299</v>
          </cell>
          <cell r="W37">
            <v>20.615479391144699</v>
          </cell>
          <cell r="X37">
            <v>50.099858492401701</v>
          </cell>
          <cell r="Y37">
            <v>55.253210831417199</v>
          </cell>
          <cell r="Z37">
            <v>57.111150119772198</v>
          </cell>
          <cell r="AA37">
            <v>29.484379101257002</v>
          </cell>
          <cell r="AB37">
            <v>36.495670728627502</v>
          </cell>
          <cell r="AC37">
            <v>37.897125880489398</v>
          </cell>
          <cell r="AD37">
            <v>10.439600930356599</v>
          </cell>
          <cell r="AE37">
            <v>3.4283093029860701</v>
          </cell>
          <cell r="AF37">
            <v>6.0077525619190801</v>
          </cell>
          <cell r="AG37">
            <v>14.234225242831</v>
          </cell>
          <cell r="AH37">
            <v>38.656083088919402</v>
          </cell>
          <cell r="AI37">
            <v>59.121132170234397</v>
          </cell>
          <cell r="AJ37">
            <v>14.9857778478914</v>
          </cell>
          <cell r="AK37">
            <v>24.4218578460885</v>
          </cell>
          <cell r="AL37">
            <v>61.343916911080598</v>
          </cell>
          <cell r="AM37">
            <v>20.465049081315001</v>
          </cell>
          <cell r="AN37">
            <v>49.315734996313701</v>
          </cell>
          <cell r="AO37">
            <v>54.924913153921203</v>
          </cell>
          <cell r="AP37">
            <v>57.073246900424003</v>
          </cell>
          <cell r="AQ37">
            <v>28.850685914998699</v>
          </cell>
          <cell r="AR37">
            <v>36.608197819109002</v>
          </cell>
          <cell r="AS37">
            <v>12.0281819147669</v>
          </cell>
        </row>
        <row r="38">
          <cell r="C38" t="str">
            <v>Chad</v>
          </cell>
          <cell r="D38" t="str">
            <v>CFA Franc BEAC</v>
          </cell>
          <cell r="E38" t="str">
            <v>XAF</v>
          </cell>
          <cell r="F38">
            <v>1</v>
          </cell>
          <cell r="G38" t="e">
            <v>#N/A</v>
          </cell>
          <cell r="H38" t="e">
            <v>#N/A</v>
          </cell>
          <cell r="I38">
            <v>3.31</v>
          </cell>
          <cell r="J38">
            <v>45.744999999999997</v>
          </cell>
          <cell r="K38">
            <v>856</v>
          </cell>
          <cell r="L38">
            <v>39.299999999999997</v>
          </cell>
          <cell r="M38">
            <v>138.69999999999999</v>
          </cell>
          <cell r="N38">
            <v>7027.5709999999999</v>
          </cell>
          <cell r="O38">
            <v>7009.9009999999998</v>
          </cell>
          <cell r="P38">
            <v>8.0023951376656299</v>
          </cell>
          <cell r="Q38">
            <v>18.904056607894798</v>
          </cell>
          <cell r="R38">
            <v>48.078560856944698</v>
          </cell>
          <cell r="S38">
            <v>68.392877140622204</v>
          </cell>
          <cell r="T38">
            <v>18.644877440583699</v>
          </cell>
          <cell r="U38">
            <v>29.1745042490499</v>
          </cell>
          <cell r="V38">
            <v>51.921439143055203</v>
          </cell>
          <cell r="W38">
            <v>20.314316283677499</v>
          </cell>
          <cell r="X38">
            <v>44.342888887212901</v>
          </cell>
          <cell r="Y38">
            <v>48.2811628655192</v>
          </cell>
          <cell r="Z38">
            <v>49.672582461280001</v>
          </cell>
          <cell r="AA38">
            <v>24.028572603535402</v>
          </cell>
          <cell r="AB38">
            <v>29.358266177602498</v>
          </cell>
          <cell r="AC38">
            <v>30.304610227346</v>
          </cell>
          <cell r="AD38">
            <v>7.5785502558423099</v>
          </cell>
          <cell r="AE38">
            <v>2.24885668177525</v>
          </cell>
          <cell r="AF38">
            <v>7.8672437741988102</v>
          </cell>
          <cell r="AG38">
            <v>18.600134295762501</v>
          </cell>
          <cell r="AH38">
            <v>47.361210950054797</v>
          </cell>
          <cell r="AI38">
            <v>67.5283003283499</v>
          </cell>
          <cell r="AJ38">
            <v>18.375452092690001</v>
          </cell>
          <cell r="AK38">
            <v>28.7610766542923</v>
          </cell>
          <cell r="AL38">
            <v>52.638789049945203</v>
          </cell>
          <cell r="AM38">
            <v>20.167089378295099</v>
          </cell>
          <cell r="AN38">
            <v>44.092405869925997</v>
          </cell>
          <cell r="AO38">
            <v>48.366146683098698</v>
          </cell>
          <cell r="AP38">
            <v>49.985656002845097</v>
          </cell>
          <cell r="AQ38">
            <v>23.925316491630898</v>
          </cell>
          <cell r="AR38">
            <v>29.818566624550002</v>
          </cell>
          <cell r="AS38">
            <v>8.5463831800192303</v>
          </cell>
        </row>
        <row r="39">
          <cell r="C39" t="str">
            <v>Chile</v>
          </cell>
          <cell r="D39" t="str">
            <v>Unidades de formento (Funds code)</v>
          </cell>
          <cell r="E39" t="str">
            <v>CLF</v>
          </cell>
          <cell r="F39">
            <v>1</v>
          </cell>
          <cell r="G39" t="e">
            <v>#N/A</v>
          </cell>
          <cell r="H39" t="e">
            <v>#N/A</v>
          </cell>
          <cell r="I39">
            <v>1.0680000000000001</v>
          </cell>
          <cell r="J39">
            <v>13.385</v>
          </cell>
          <cell r="K39">
            <v>22</v>
          </cell>
          <cell r="L39">
            <v>4.9000000000000004</v>
          </cell>
          <cell r="M39">
            <v>8.1</v>
          </cell>
          <cell r="N39">
            <v>8855.0689999999995</v>
          </cell>
          <cell r="O39">
            <v>9093.0720000000001</v>
          </cell>
          <cell r="P39">
            <v>2.6759023560403699</v>
          </cell>
          <cell r="Q39">
            <v>6.7280108150484201</v>
          </cell>
          <cell r="R39">
            <v>20.7803914345557</v>
          </cell>
          <cell r="S39">
            <v>36.621114979454099</v>
          </cell>
          <cell r="T39">
            <v>8.2933063536828406</v>
          </cell>
          <cell r="U39">
            <v>14.0523806195073</v>
          </cell>
          <cell r="V39">
            <v>79.219608565444304</v>
          </cell>
          <cell r="W39">
            <v>15.840723544898401</v>
          </cell>
          <cell r="X39">
            <v>53.312142457613803</v>
          </cell>
          <cell r="Y39">
            <v>65.449845732427406</v>
          </cell>
          <cell r="Z39">
            <v>69.922188071035904</v>
          </cell>
          <cell r="AA39">
            <v>37.4714189127154</v>
          </cell>
          <cell r="AB39">
            <v>54.081464526137502</v>
          </cell>
          <cell r="AC39">
            <v>57.377926699385398</v>
          </cell>
          <cell r="AD39">
            <v>25.907466107830398</v>
          </cell>
          <cell r="AE39">
            <v>9.2974204944083407</v>
          </cell>
          <cell r="AF39">
            <v>2.5109665908287102</v>
          </cell>
          <cell r="AG39">
            <v>6.3195474532699203</v>
          </cell>
          <cell r="AH39">
            <v>19.530055409216999</v>
          </cell>
          <cell r="AI39">
            <v>34.1983545274908</v>
          </cell>
          <cell r="AJ39">
            <v>7.8067786112328204</v>
          </cell>
          <cell r="AK39">
            <v>13.210507955947101</v>
          </cell>
          <cell r="AL39">
            <v>80.469944590782902</v>
          </cell>
          <cell r="AM39">
            <v>14.668299118273801</v>
          </cell>
          <cell r="AN39">
            <v>50.546558962691599</v>
          </cell>
          <cell r="AO39">
            <v>62.8918807637287</v>
          </cell>
          <cell r="AP39">
            <v>67.805984600143901</v>
          </cell>
          <cell r="AQ39">
            <v>35.878259844417798</v>
          </cell>
          <cell r="AR39">
            <v>53.1376854818702</v>
          </cell>
          <cell r="AS39">
            <v>29.923385628091399</v>
          </cell>
        </row>
        <row r="40">
          <cell r="C40" t="str">
            <v>China</v>
          </cell>
          <cell r="D40" t="str">
            <v>Yuan Renminbi</v>
          </cell>
          <cell r="E40" t="str">
            <v>CNY</v>
          </cell>
          <cell r="F40">
            <v>8.7103003448275889</v>
          </cell>
          <cell r="G40" t="e">
            <v>#N/A</v>
          </cell>
          <cell r="H40" t="e">
            <v>#N/A</v>
          </cell>
          <cell r="I40">
            <v>0.51600000000000001</v>
          </cell>
          <cell r="J40">
            <v>12.1</v>
          </cell>
          <cell r="K40">
            <v>27</v>
          </cell>
          <cell r="L40">
            <v>5.5</v>
          </cell>
          <cell r="M40">
            <v>10.7</v>
          </cell>
          <cell r="N40">
            <v>708977.11600000004</v>
          </cell>
          <cell r="O40">
            <v>667071.82700000005</v>
          </cell>
          <cell r="P40">
            <v>2.54143759979977</v>
          </cell>
          <cell r="Q40">
            <v>6.2975857742635499</v>
          </cell>
          <cell r="R40">
            <v>17.963965708591399</v>
          </cell>
          <cell r="S40">
            <v>31.7667866729848</v>
          </cell>
          <cell r="T40">
            <v>7.1263293073623002</v>
          </cell>
          <cell r="U40">
            <v>11.6663799343278</v>
          </cell>
          <cell r="V40">
            <v>82.036034291408697</v>
          </cell>
          <cell r="W40">
            <v>13.802820964393399</v>
          </cell>
          <cell r="X40">
            <v>54.781700034447901</v>
          </cell>
          <cell r="Y40">
            <v>67.583082046896394</v>
          </cell>
          <cell r="Z40">
            <v>73.113370135912803</v>
          </cell>
          <cell r="AA40">
            <v>40.978879070054496</v>
          </cell>
          <cell r="AB40">
            <v>59.310549171519398</v>
          </cell>
          <cell r="AC40">
            <v>62.897195683252498</v>
          </cell>
          <cell r="AD40">
            <v>27.2543342569607</v>
          </cell>
          <cell r="AE40">
            <v>8.9226641554958199</v>
          </cell>
          <cell r="AF40">
            <v>2.3443518924087301</v>
          </cell>
          <cell r="AG40">
            <v>5.7771143136584602</v>
          </cell>
          <cell r="AH40">
            <v>16.453228206862899</v>
          </cell>
          <cell r="AI40">
            <v>29.526767737411902</v>
          </cell>
          <cell r="AJ40">
            <v>6.4935185757739999</v>
          </cell>
          <cell r="AK40">
            <v>10.6761138932045</v>
          </cell>
          <cell r="AL40">
            <v>83.546771793137097</v>
          </cell>
          <cell r="AM40">
            <v>13.073539530548899</v>
          </cell>
          <cell r="AN40">
            <v>54.413277597466298</v>
          </cell>
          <cell r="AO40">
            <v>67.540785529232096</v>
          </cell>
          <cell r="AP40">
            <v>73.327537935431295</v>
          </cell>
          <cell r="AQ40">
            <v>41.339738066917299</v>
          </cell>
          <cell r="AR40">
            <v>60.253998404882402</v>
          </cell>
          <cell r="AS40">
            <v>29.133494195670799</v>
          </cell>
        </row>
        <row r="41">
          <cell r="C41" t="str">
            <v>Colombia</v>
          </cell>
          <cell r="D41" t="str">
            <v>Colombian Peso</v>
          </cell>
          <cell r="E41" t="str">
            <v>COP</v>
          </cell>
          <cell r="F41">
            <v>3843.5433617021281</v>
          </cell>
          <cell r="G41" t="e">
            <v>#N/A</v>
          </cell>
          <cell r="H41" t="e">
            <v>#N/A</v>
          </cell>
          <cell r="I41">
            <v>0.98199999999999998</v>
          </cell>
          <cell r="J41">
            <v>16.076000000000001</v>
          </cell>
          <cell r="K41">
            <v>64</v>
          </cell>
          <cell r="L41">
            <v>8.5</v>
          </cell>
          <cell r="M41">
            <v>15.9</v>
          </cell>
          <cell r="N41">
            <v>23743.535</v>
          </cell>
          <cell r="O41">
            <v>24485.169000000002</v>
          </cell>
          <cell r="P41">
            <v>3.1886321897729202</v>
          </cell>
          <cell r="Q41">
            <v>8.0393884061492908</v>
          </cell>
          <cell r="R41">
            <v>25.1809934788565</v>
          </cell>
          <cell r="S41">
            <v>42.859906917819899</v>
          </cell>
          <cell r="T41">
            <v>10.1232609213413</v>
          </cell>
          <cell r="U41">
            <v>17.1416050727072</v>
          </cell>
          <cell r="V41">
            <v>74.819006521143606</v>
          </cell>
          <cell r="W41">
            <v>17.678913438963502</v>
          </cell>
          <cell r="X41">
            <v>54.728459768101096</v>
          </cell>
          <cell r="Y41">
            <v>64.933772498492701</v>
          </cell>
          <cell r="Z41">
            <v>68.539356081560697</v>
          </cell>
          <cell r="AA41">
            <v>37.049546329137598</v>
          </cell>
          <cell r="AB41">
            <v>50.860442642597199</v>
          </cell>
          <cell r="AC41">
            <v>53.400624633189601</v>
          </cell>
          <cell r="AD41">
            <v>20.090546753042499</v>
          </cell>
          <cell r="AE41">
            <v>6.2796504395828103</v>
          </cell>
          <cell r="AF41">
            <v>2.95984479420992</v>
          </cell>
          <cell r="AG41">
            <v>7.47163721843211</v>
          </cell>
          <cell r="AH41">
            <v>23.4196382308</v>
          </cell>
          <cell r="AI41">
            <v>40.0435422765512</v>
          </cell>
          <cell r="AJ41">
            <v>9.4183789378786802</v>
          </cell>
          <cell r="AK41">
            <v>15.9480010123679</v>
          </cell>
          <cell r="AL41">
            <v>76.580361769199996</v>
          </cell>
          <cell r="AM41">
            <v>16.6239040457511</v>
          </cell>
          <cell r="AN41">
            <v>53.924610444796201</v>
          </cell>
          <cell r="AO41">
            <v>64.822015318742601</v>
          </cell>
          <cell r="AP41">
            <v>68.805001917691499</v>
          </cell>
          <cell r="AQ41">
            <v>37.300706399045097</v>
          </cell>
          <cell r="AR41">
            <v>52.181097871940402</v>
          </cell>
          <cell r="AS41">
            <v>22.655751324403798</v>
          </cell>
        </row>
        <row r="42">
          <cell r="C42" t="str">
            <v>Comoros</v>
          </cell>
          <cell r="D42" t="str">
            <v>Comoro Franc</v>
          </cell>
          <cell r="E42" t="str">
            <v>KMF</v>
          </cell>
          <cell r="F42">
            <v>1</v>
          </cell>
          <cell r="G42" t="e">
            <v>#N/A</v>
          </cell>
          <cell r="H42" t="e">
            <v>#N/A</v>
          </cell>
          <cell r="I42">
            <v>2.4180000000000001</v>
          </cell>
          <cell r="J42">
            <v>34.326000000000001</v>
          </cell>
          <cell r="K42">
            <v>335</v>
          </cell>
          <cell r="L42">
            <v>34</v>
          </cell>
          <cell r="M42">
            <v>73.5</v>
          </cell>
          <cell r="N42">
            <v>397.7</v>
          </cell>
          <cell r="O42">
            <v>390.774</v>
          </cell>
          <cell r="P42">
            <v>6.33442293185818</v>
          </cell>
          <cell r="Q42">
            <v>15.280864973598201</v>
          </cell>
          <cell r="R42">
            <v>40.635906462157401</v>
          </cell>
          <cell r="S42">
            <v>60.557958259994997</v>
          </cell>
          <cell r="T42">
            <v>15.9821473472467</v>
          </cell>
          <cell r="U42">
            <v>25.355041488559198</v>
          </cell>
          <cell r="V42">
            <v>59.364093537842599</v>
          </cell>
          <cell r="W42">
            <v>19.9220517978376</v>
          </cell>
          <cell r="X42">
            <v>49.638923811918502</v>
          </cell>
          <cell r="Y42">
            <v>55.127231581594202</v>
          </cell>
          <cell r="Z42">
            <v>56.853407090771903</v>
          </cell>
          <cell r="AA42">
            <v>29.716872014081002</v>
          </cell>
          <cell r="AB42">
            <v>36.931355292934398</v>
          </cell>
          <cell r="AC42">
            <v>37.995222529544897</v>
          </cell>
          <cell r="AD42">
            <v>9.7251697259240597</v>
          </cell>
          <cell r="AE42">
            <v>2.5106864470706598</v>
          </cell>
          <cell r="AF42">
            <v>6.2028179971031898</v>
          </cell>
          <cell r="AG42">
            <v>14.9746400732904</v>
          </cell>
          <cell r="AH42">
            <v>39.905162574787497</v>
          </cell>
          <cell r="AI42">
            <v>59.549509435121102</v>
          </cell>
          <cell r="AJ42">
            <v>15.7039618807802</v>
          </cell>
          <cell r="AK42">
            <v>24.930522501496998</v>
          </cell>
          <cell r="AL42">
            <v>60.094837425212503</v>
          </cell>
          <cell r="AM42">
            <v>19.644346860333599</v>
          </cell>
          <cell r="AN42">
            <v>49.404515141744298</v>
          </cell>
          <cell r="AO42">
            <v>55.128539769790201</v>
          </cell>
          <cell r="AP42">
            <v>57.013516764165502</v>
          </cell>
          <cell r="AQ42">
            <v>29.760168281410699</v>
          </cell>
          <cell r="AR42">
            <v>37.369169903831903</v>
          </cell>
          <cell r="AS42">
            <v>10.6903222834682</v>
          </cell>
        </row>
        <row r="43">
          <cell r="C43" t="str">
            <v>Congo</v>
          </cell>
          <cell r="D43" t="str">
            <v>CFA Franc BEAC</v>
          </cell>
          <cell r="E43" t="str">
            <v>XAF</v>
          </cell>
          <cell r="F43">
            <v>1</v>
          </cell>
          <cell r="G43" t="e">
            <v>#N/A</v>
          </cell>
          <cell r="H43" t="e">
            <v>#N/A</v>
          </cell>
          <cell r="I43">
            <v>2.556</v>
          </cell>
          <cell r="J43">
            <v>37.011000000000003</v>
          </cell>
          <cell r="K43">
            <v>442</v>
          </cell>
          <cell r="L43">
            <v>18</v>
          </cell>
          <cell r="M43">
            <v>45</v>
          </cell>
          <cell r="N43">
            <v>2311.12</v>
          </cell>
          <cell r="O43">
            <v>2309.21</v>
          </cell>
          <cell r="P43">
            <v>6.8954446329052601</v>
          </cell>
          <cell r="Q43">
            <v>16.576465090518901</v>
          </cell>
          <cell r="R43">
            <v>42.918065699747302</v>
          </cell>
          <cell r="S43">
            <v>61.513724947211699</v>
          </cell>
          <cell r="T43">
            <v>16.8766658589775</v>
          </cell>
          <cell r="U43">
            <v>26.341600609228401</v>
          </cell>
          <cell r="V43">
            <v>57.081934300252698</v>
          </cell>
          <cell r="W43">
            <v>18.5956592474644</v>
          </cell>
          <cell r="X43">
            <v>46.926382013915301</v>
          </cell>
          <cell r="Y43">
            <v>51.977828931427197</v>
          </cell>
          <cell r="Z43">
            <v>53.747793277718202</v>
          </cell>
          <cell r="AA43">
            <v>28.330722766450901</v>
          </cell>
          <cell r="AB43">
            <v>35.152134030253698</v>
          </cell>
          <cell r="AC43">
            <v>36.490446190591598</v>
          </cell>
          <cell r="AD43">
            <v>10.1555522863374</v>
          </cell>
          <cell r="AE43">
            <v>3.33414102253453</v>
          </cell>
          <cell r="AF43">
            <v>6.7601041048670298</v>
          </cell>
          <cell r="AG43">
            <v>16.280026502570099</v>
          </cell>
          <cell r="AH43">
            <v>42.343138995587204</v>
          </cell>
          <cell r="AI43">
            <v>60.847605891192202</v>
          </cell>
          <cell r="AJ43">
            <v>16.673884142195799</v>
          </cell>
          <cell r="AK43">
            <v>26.063112493017101</v>
          </cell>
          <cell r="AL43">
            <v>57.656861004412796</v>
          </cell>
          <cell r="AM43">
            <v>18.504466895604999</v>
          </cell>
          <cell r="AN43">
            <v>46.487586663837398</v>
          </cell>
          <cell r="AO43">
            <v>51.720415206932202</v>
          </cell>
          <cell r="AP43">
            <v>53.669046990096199</v>
          </cell>
          <cell r="AQ43">
            <v>27.983119768232399</v>
          </cell>
          <cell r="AR43">
            <v>35.1645800944912</v>
          </cell>
          <cell r="AS43">
            <v>11.1692743405754</v>
          </cell>
        </row>
        <row r="44">
          <cell r="C44" t="str">
            <v>Cook Islands</v>
          </cell>
          <cell r="D44" t="str">
            <v>New Zealand Dollar</v>
          </cell>
          <cell r="E44" t="str">
            <v>NZD</v>
          </cell>
          <cell r="F44">
            <v>2.0092387136929473</v>
          </cell>
          <cell r="G44" t="e">
            <v>#N/A</v>
          </cell>
          <cell r="H44" t="e">
            <v>#N/A</v>
          </cell>
          <cell r="I44">
            <v>0.53400000000000003</v>
          </cell>
          <cell r="J44" t="e">
            <v>#N/A</v>
          </cell>
          <cell r="K44" t="e">
            <v>#N/A</v>
          </cell>
          <cell r="L44">
            <v>4.4000000000000004</v>
          </cell>
          <cell r="M44">
            <v>8.1</v>
          </cell>
          <cell r="N44" t="e">
            <v>#N/A</v>
          </cell>
          <cell r="O44" t="e">
            <v>#N/A</v>
          </cell>
          <cell r="P44" t="e">
            <v>#N/A</v>
          </cell>
          <cell r="Q44" t="e">
            <v>#N/A</v>
          </cell>
          <cell r="R44" t="e">
            <v>#N/A</v>
          </cell>
          <cell r="S44" t="e">
            <v>#N/A</v>
          </cell>
          <cell r="T44" t="e">
            <v>#N/A</v>
          </cell>
          <cell r="U44" t="e">
            <v>#N/A</v>
          </cell>
          <cell r="V44" t="e">
            <v>#N/A</v>
          </cell>
          <cell r="W44" t="e">
            <v>#N/A</v>
          </cell>
          <cell r="X44" t="e">
            <v>#N/A</v>
          </cell>
          <cell r="Y44" t="e">
            <v>#N/A</v>
          </cell>
          <cell r="Z44" t="e">
            <v>#N/A</v>
          </cell>
          <cell r="AA44" t="e">
            <v>#N/A</v>
          </cell>
          <cell r="AB44" t="e">
            <v>#N/A</v>
          </cell>
          <cell r="AC44" t="e">
            <v>#N/A</v>
          </cell>
          <cell r="AD44" t="e">
            <v>#N/A</v>
          </cell>
          <cell r="AE44" t="e">
            <v>#N/A</v>
          </cell>
          <cell r="AF44" t="e">
            <v>#N/A</v>
          </cell>
          <cell r="AG44" t="e">
            <v>#N/A</v>
          </cell>
          <cell r="AH44" t="e">
            <v>#N/A</v>
          </cell>
          <cell r="AI44" t="e">
            <v>#N/A</v>
          </cell>
          <cell r="AJ44" t="e">
            <v>#N/A</v>
          </cell>
          <cell r="AK44" t="e">
            <v>#N/A</v>
          </cell>
          <cell r="AL44" t="e">
            <v>#N/A</v>
          </cell>
          <cell r="AM44" t="e">
            <v>#N/A</v>
          </cell>
          <cell r="AN44" t="e">
            <v>#N/A</v>
          </cell>
          <cell r="AO44" t="e">
            <v>#N/A</v>
          </cell>
          <cell r="AP44" t="e">
            <v>#N/A</v>
          </cell>
          <cell r="AQ44" t="e">
            <v>#N/A</v>
          </cell>
          <cell r="AR44" t="e">
            <v>#N/A</v>
          </cell>
          <cell r="AS44" t="e">
            <v>#N/A</v>
          </cell>
        </row>
        <row r="45">
          <cell r="C45" t="str">
            <v>Costa Rica</v>
          </cell>
          <cell r="D45" t="str">
            <v>Costa Rican Colon</v>
          </cell>
          <cell r="E45" t="str">
            <v>CRC</v>
          </cell>
          <cell r="F45">
            <v>1</v>
          </cell>
          <cell r="G45" t="e">
            <v>#N/A</v>
          </cell>
          <cell r="H45" t="e">
            <v>#N/A</v>
          </cell>
          <cell r="I45">
            <v>1.123</v>
          </cell>
          <cell r="J45">
            <v>15.022</v>
          </cell>
          <cell r="K45">
            <v>25</v>
          </cell>
          <cell r="L45">
            <v>6.2</v>
          </cell>
          <cell r="M45">
            <v>9.6999999999999993</v>
          </cell>
          <cell r="N45">
            <v>2405.5450000000001</v>
          </cell>
          <cell r="O45">
            <v>2402.3049999999998</v>
          </cell>
          <cell r="P45">
            <v>2.9052875751648801</v>
          </cell>
          <cell r="Q45">
            <v>7.4525731175263799</v>
          </cell>
          <cell r="R45">
            <v>22.808802163335098</v>
          </cell>
          <cell r="S45">
            <v>39.981251649834</v>
          </cell>
          <cell r="T45">
            <v>9.1893105304619098</v>
          </cell>
          <cell r="U45">
            <v>15.3562290458087</v>
          </cell>
          <cell r="V45">
            <v>77.191197836664898</v>
          </cell>
          <cell r="W45">
            <v>17.172449486498898</v>
          </cell>
          <cell r="X45">
            <v>53.9979505683743</v>
          </cell>
          <cell r="Y45">
            <v>65.133639154536695</v>
          </cell>
          <cell r="Z45">
            <v>68.893743413654704</v>
          </cell>
          <cell r="AA45">
            <v>36.825501081875402</v>
          </cell>
          <cell r="AB45">
            <v>51.721293927155799</v>
          </cell>
          <cell r="AC45">
            <v>54.839215229812801</v>
          </cell>
          <cell r="AD45">
            <v>23.193247268290602</v>
          </cell>
          <cell r="AE45">
            <v>8.2974544230101692</v>
          </cell>
          <cell r="AF45">
            <v>2.7749598822797301</v>
          </cell>
          <cell r="AG45">
            <v>7.1203281848058397</v>
          </cell>
          <cell r="AH45">
            <v>21.807847046898701</v>
          </cell>
          <cell r="AI45">
            <v>38.325816247312503</v>
          </cell>
          <cell r="AJ45">
            <v>8.7855205729497303</v>
          </cell>
          <cell r="AK45">
            <v>14.687518862092899</v>
          </cell>
          <cell r="AL45">
            <v>78.192152953101299</v>
          </cell>
          <cell r="AM45">
            <v>16.517969200413798</v>
          </cell>
          <cell r="AN45">
            <v>53.221676681353898</v>
          </cell>
          <cell r="AO45">
            <v>64.731497457649994</v>
          </cell>
          <cell r="AP45">
            <v>68.6866988163451</v>
          </cell>
          <cell r="AQ45">
            <v>36.703707480940203</v>
          </cell>
          <cell r="AR45">
            <v>52.168729615931397</v>
          </cell>
          <cell r="AS45">
            <v>24.970476271747302</v>
          </cell>
        </row>
        <row r="46">
          <cell r="C46" t="str">
            <v>Cote d'Ivoire</v>
          </cell>
          <cell r="D46" t="str">
            <v>CFA Franc BCEAO</v>
          </cell>
          <cell r="E46" t="str">
            <v>XOF</v>
          </cell>
          <cell r="F46">
            <v>1</v>
          </cell>
          <cell r="G46" t="e">
            <v>#N/A</v>
          </cell>
          <cell r="H46" t="e">
            <v>#N/A</v>
          </cell>
          <cell r="I46">
            <v>2.403</v>
          </cell>
          <cell r="J46">
            <v>37.32</v>
          </cell>
          <cell r="K46">
            <v>645</v>
          </cell>
          <cell r="L46">
            <v>37.9</v>
          </cell>
          <cell r="M46">
            <v>92.6</v>
          </cell>
          <cell r="N46">
            <v>11546.154</v>
          </cell>
          <cell r="O46">
            <v>11155.402</v>
          </cell>
          <cell r="P46">
            <v>6.7391184978132097</v>
          </cell>
          <cell r="Q46">
            <v>15.981286928963501</v>
          </cell>
          <cell r="R46">
            <v>42.023361198889297</v>
          </cell>
          <cell r="S46">
            <v>62.132351603832802</v>
          </cell>
          <cell r="T46">
            <v>16.3076986501306</v>
          </cell>
          <cell r="U46">
            <v>26.042074269925699</v>
          </cell>
          <cell r="V46">
            <v>57.976638801110703</v>
          </cell>
          <cell r="W46">
            <v>20.108990404943501</v>
          </cell>
          <cell r="X46">
            <v>47.146539012038097</v>
          </cell>
          <cell r="Y46">
            <v>52.739128544448697</v>
          </cell>
          <cell r="Z46">
            <v>54.7056881451607</v>
          </cell>
          <cell r="AA46">
            <v>27.0375486070946</v>
          </cell>
          <cell r="AB46">
            <v>34.596697740217202</v>
          </cell>
          <cell r="AC46">
            <v>36.093906247916003</v>
          </cell>
          <cell r="AD46">
            <v>10.8300997890726</v>
          </cell>
          <cell r="AE46">
            <v>3.2709506559500299</v>
          </cell>
          <cell r="AF46">
            <v>6.8747948303431796</v>
          </cell>
          <cell r="AG46">
            <v>16.331486754130399</v>
          </cell>
          <cell r="AH46">
            <v>42.941070164929897</v>
          </cell>
          <cell r="AI46">
            <v>63.401318930505603</v>
          </cell>
          <cell r="AJ46">
            <v>16.687655003378602</v>
          </cell>
          <cell r="AK46">
            <v>26.609583410799502</v>
          </cell>
          <cell r="AL46">
            <v>57.058929835070003</v>
          </cell>
          <cell r="AM46">
            <v>20.460248765575599</v>
          </cell>
          <cell r="AN46">
            <v>47.635199520375899</v>
          </cell>
          <cell r="AO46">
            <v>52.615046952140297</v>
          </cell>
          <cell r="AP46">
            <v>54.284596825824799</v>
          </cell>
          <cell r="AQ46">
            <v>27.1749507548002</v>
          </cell>
          <cell r="AR46">
            <v>33.8243480602492</v>
          </cell>
          <cell r="AS46">
            <v>9.4237303146941702</v>
          </cell>
        </row>
        <row r="47">
          <cell r="C47" t="str">
            <v>Croatia</v>
          </cell>
          <cell r="D47" t="str">
            <v>Croatian Kuna</v>
          </cell>
          <cell r="E47" t="str">
            <v>HRK</v>
          </cell>
          <cell r="F47">
            <v>1</v>
          </cell>
          <cell r="G47" t="e">
            <v>#N/A</v>
          </cell>
          <cell r="H47" t="e">
            <v>#N/A</v>
          </cell>
          <cell r="I47">
            <v>-0.35599999999999998</v>
          </cell>
          <cell r="J47">
            <v>9.4</v>
          </cell>
          <cell r="K47">
            <v>8</v>
          </cell>
          <cell r="L47">
            <v>2.6</v>
          </cell>
          <cell r="M47">
            <v>4.3</v>
          </cell>
          <cell r="N47">
            <v>2045.25</v>
          </cell>
          <cell r="O47">
            <v>2195.067</v>
          </cell>
          <cell r="P47">
            <v>1.9536975919814199</v>
          </cell>
          <cell r="Q47">
            <v>5.2112944627796098</v>
          </cell>
          <cell r="R47">
            <v>15.868377948906</v>
          </cell>
          <cell r="S47">
            <v>27.760567167827901</v>
          </cell>
          <cell r="T47">
            <v>6.5035081285906404</v>
          </cell>
          <cell r="U47">
            <v>10.6570834861264</v>
          </cell>
          <cell r="V47">
            <v>84.131622051093998</v>
          </cell>
          <cell r="W47">
            <v>11.892189218921899</v>
          </cell>
          <cell r="X47">
            <v>46.918958562522903</v>
          </cell>
          <cell r="Y47">
            <v>61.650262804058201</v>
          </cell>
          <cell r="Z47">
            <v>68.634983498349797</v>
          </cell>
          <cell r="AA47">
            <v>35.026769343601003</v>
          </cell>
          <cell r="AB47">
            <v>56.742794279427898</v>
          </cell>
          <cell r="AC47">
            <v>62.256496760787201</v>
          </cell>
          <cell r="AD47">
            <v>37.212663488571103</v>
          </cell>
          <cell r="AE47">
            <v>15.4966385527442</v>
          </cell>
          <cell r="AF47">
            <v>1.7204030674234501</v>
          </cell>
          <cell r="AG47">
            <v>4.5888804305289996</v>
          </cell>
          <cell r="AH47">
            <v>13.9796644020433</v>
          </cell>
          <cell r="AI47">
            <v>24.529729616453601</v>
          </cell>
          <cell r="AJ47">
            <v>5.7280711704927496</v>
          </cell>
          <cell r="AK47">
            <v>9.3907839715143098</v>
          </cell>
          <cell r="AL47">
            <v>86.020335597956702</v>
          </cell>
          <cell r="AM47">
            <v>10.550065214410299</v>
          </cell>
          <cell r="AN47">
            <v>42.520934440725497</v>
          </cell>
          <cell r="AO47">
            <v>56.845736371600502</v>
          </cell>
          <cell r="AP47">
            <v>63.877640181370303</v>
          </cell>
          <cell r="AQ47">
            <v>31.970869226315202</v>
          </cell>
          <cell r="AR47">
            <v>53.32757496696</v>
          </cell>
          <cell r="AS47">
            <v>43.499401157231198</v>
          </cell>
        </row>
        <row r="48">
          <cell r="C48" t="str">
            <v>Cuba</v>
          </cell>
          <cell r="D48" t="str">
            <v>Cuban Peso</v>
          </cell>
          <cell r="E48" t="str">
            <v>CUP</v>
          </cell>
          <cell r="F48">
            <v>1</v>
          </cell>
          <cell r="G48" t="e">
            <v>#N/A</v>
          </cell>
          <cell r="H48" t="e">
            <v>#N/A</v>
          </cell>
          <cell r="I48">
            <v>0.14399999999999999</v>
          </cell>
          <cell r="J48">
            <v>10.4</v>
          </cell>
          <cell r="K48">
            <v>39</v>
          </cell>
          <cell r="L48">
            <v>2.2999999999999998</v>
          </cell>
          <cell r="M48">
            <v>5.5</v>
          </cell>
          <cell r="N48">
            <v>5721.942</v>
          </cell>
          <cell r="O48">
            <v>5667.62</v>
          </cell>
          <cell r="P48">
            <v>2.10031838840729</v>
          </cell>
          <cell r="Q48">
            <v>5.2770195853086204</v>
          </cell>
          <cell r="R48">
            <v>16.719550809847401</v>
          </cell>
          <cell r="S48">
            <v>29.644113834079398</v>
          </cell>
          <cell r="T48">
            <v>6.6712839801591803</v>
          </cell>
          <cell r="U48">
            <v>11.442531224538801</v>
          </cell>
          <cell r="V48">
            <v>83.280449190152595</v>
          </cell>
          <cell r="W48">
            <v>12.924563024232</v>
          </cell>
          <cell r="X48">
            <v>50.3329464017636</v>
          </cell>
          <cell r="Y48">
            <v>64.983951252913798</v>
          </cell>
          <cell r="Z48">
            <v>70.342726298169396</v>
          </cell>
          <cell r="AA48">
            <v>37.408383377531599</v>
          </cell>
          <cell r="AB48">
            <v>57.418163273937402</v>
          </cell>
          <cell r="AC48">
            <v>61.525352756109697</v>
          </cell>
          <cell r="AD48">
            <v>32.947502788389002</v>
          </cell>
          <cell r="AE48">
            <v>12.937722891983199</v>
          </cell>
          <cell r="AF48">
            <v>2.0050391522367401</v>
          </cell>
          <cell r="AG48">
            <v>5.04280456346756</v>
          </cell>
          <cell r="AH48">
            <v>15.8871448685692</v>
          </cell>
          <cell r="AI48">
            <v>27.951079994777398</v>
          </cell>
          <cell r="AJ48">
            <v>6.3481849524138898</v>
          </cell>
          <cell r="AK48">
            <v>10.8443403051016</v>
          </cell>
          <cell r="AL48">
            <v>84.112855131430805</v>
          </cell>
          <cell r="AM48">
            <v>12.0639351262082</v>
          </cell>
          <cell r="AN48">
            <v>48.610351434993902</v>
          </cell>
          <cell r="AO48">
            <v>63.508897914821397</v>
          </cell>
          <cell r="AP48">
            <v>69.094964023699504</v>
          </cell>
          <cell r="AQ48">
            <v>36.546416308785702</v>
          </cell>
          <cell r="AR48">
            <v>57.031028897491403</v>
          </cell>
          <cell r="AS48">
            <v>35.502503696437003</v>
          </cell>
        </row>
        <row r="49">
          <cell r="C49" t="str">
            <v>Cyprus</v>
          </cell>
          <cell r="D49" t="str">
            <v>Cyprus Pound</v>
          </cell>
          <cell r="E49" t="str">
            <v>CYP</v>
          </cell>
          <cell r="F49">
            <v>1</v>
          </cell>
          <cell r="G49" t="e">
            <v>#N/A</v>
          </cell>
          <cell r="H49" t="e">
            <v>#N/A</v>
          </cell>
          <cell r="I49">
            <v>1.0860000000000001</v>
          </cell>
          <cell r="J49">
            <v>11.436</v>
          </cell>
          <cell r="K49">
            <v>7</v>
          </cell>
          <cell r="L49">
            <v>1.5</v>
          </cell>
          <cell r="M49">
            <v>2.7</v>
          </cell>
          <cell r="N49">
            <v>594.49199999999996</v>
          </cell>
          <cell r="O49">
            <v>570.80799999999999</v>
          </cell>
          <cell r="P49">
            <v>2.2531842312428099</v>
          </cell>
          <cell r="Q49">
            <v>5.6993197553541499</v>
          </cell>
          <cell r="R49">
            <v>16.7701163346185</v>
          </cell>
          <cell r="S49">
            <v>31.9654427645788</v>
          </cell>
          <cell r="T49">
            <v>6.6537480739858603</v>
          </cell>
          <cell r="U49">
            <v>11.0707965792643</v>
          </cell>
          <cell r="V49">
            <v>83.229883665381607</v>
          </cell>
          <cell r="W49">
            <v>15.195326429960399</v>
          </cell>
          <cell r="X49">
            <v>54.703175147857301</v>
          </cell>
          <cell r="Y49">
            <v>66.865323671302605</v>
          </cell>
          <cell r="Z49">
            <v>71.865054533955004</v>
          </cell>
          <cell r="AA49">
            <v>39.507848717896998</v>
          </cell>
          <cell r="AB49">
            <v>56.6697281039947</v>
          </cell>
          <cell r="AC49">
            <v>60.683407009682199</v>
          </cell>
          <cell r="AD49">
            <v>28.526708517524199</v>
          </cell>
          <cell r="AE49">
            <v>11.3648291314265</v>
          </cell>
          <cell r="AF49">
            <v>2.2124777508374098</v>
          </cell>
          <cell r="AG49">
            <v>5.5692982579080903</v>
          </cell>
          <cell r="AH49">
            <v>16.322826589676399</v>
          </cell>
          <cell r="AI49">
            <v>30.971359896848</v>
          </cell>
          <cell r="AJ49">
            <v>6.4492789169037597</v>
          </cell>
          <cell r="AK49">
            <v>10.753528331768299</v>
          </cell>
          <cell r="AL49">
            <v>83.677173410323604</v>
          </cell>
          <cell r="AM49">
            <v>14.648533307171601</v>
          </cell>
          <cell r="AN49">
            <v>51.719842749225698</v>
          </cell>
          <cell r="AO49">
            <v>64.029235750024498</v>
          </cell>
          <cell r="AP49">
            <v>69.289673585513896</v>
          </cell>
          <cell r="AQ49">
            <v>37.071309442054101</v>
          </cell>
          <cell r="AR49">
            <v>54.641140278342299</v>
          </cell>
          <cell r="AS49">
            <v>31.957330661097998</v>
          </cell>
        </row>
        <row r="50">
          <cell r="C50" t="str">
            <v>Czech Republic</v>
          </cell>
          <cell r="D50" t="str">
            <v>Czech Koruna</v>
          </cell>
          <cell r="E50" t="str">
            <v>CZK</v>
          </cell>
          <cell r="F50">
            <v>34.416233609958496</v>
          </cell>
          <cell r="G50" t="e">
            <v>#N/A</v>
          </cell>
          <cell r="H50" t="e">
            <v>#N/A</v>
          </cell>
          <cell r="I50">
            <v>6.9000000000000006E-2</v>
          </cell>
          <cell r="J50">
            <v>10.199999999999999</v>
          </cell>
          <cell r="K50">
            <v>4</v>
          </cell>
          <cell r="L50">
            <v>1.8</v>
          </cell>
          <cell r="M50">
            <v>3.4</v>
          </cell>
          <cell r="N50">
            <v>5180.067</v>
          </cell>
          <cell r="O50">
            <v>5363.1189999999997</v>
          </cell>
          <cell r="P50">
            <v>1.94694392948971</v>
          </cell>
          <cell r="Q50">
            <v>5.3353750057673004</v>
          </cell>
          <cell r="R50">
            <v>15.7181557690277</v>
          </cell>
          <cell r="S50">
            <v>26.2198539130864</v>
          </cell>
          <cell r="T50">
            <v>6.6604543918061303</v>
          </cell>
          <cell r="U50">
            <v>10.382780763260399</v>
          </cell>
          <cell r="V50">
            <v>84.281844230972297</v>
          </cell>
          <cell r="W50">
            <v>10.5016981440588</v>
          </cell>
          <cell r="X50">
            <v>49.441329619867801</v>
          </cell>
          <cell r="Y50">
            <v>62.357031289363597</v>
          </cell>
          <cell r="Z50">
            <v>69.045400378026002</v>
          </cell>
          <cell r="AA50">
            <v>38.939631475809101</v>
          </cell>
          <cell r="AB50">
            <v>58.543702233967203</v>
          </cell>
          <cell r="AC50">
            <v>64.548952745205796</v>
          </cell>
          <cell r="AD50">
            <v>34.840514611104403</v>
          </cell>
          <cell r="AE50">
            <v>15.2364438529463</v>
          </cell>
          <cell r="AF50">
            <v>1.77676460283652</v>
          </cell>
          <cell r="AG50">
            <v>4.8764534219732898</v>
          </cell>
          <cell r="AH50">
            <v>14.388716715030901</v>
          </cell>
          <cell r="AI50">
            <v>24.038810252019399</v>
          </cell>
          <cell r="AJ50">
            <v>6.1019343408192102</v>
          </cell>
          <cell r="AK50">
            <v>9.5122632930576394</v>
          </cell>
          <cell r="AL50">
            <v>85.611283284969105</v>
          </cell>
          <cell r="AM50">
            <v>9.6500935369884608</v>
          </cell>
          <cell r="AN50">
            <v>45.252697171179697</v>
          </cell>
          <cell r="AO50">
            <v>57.744103757533601</v>
          </cell>
          <cell r="AP50">
            <v>64.792670086194207</v>
          </cell>
          <cell r="AQ50">
            <v>35.602603634191198</v>
          </cell>
          <cell r="AR50">
            <v>55.142576549205799</v>
          </cell>
          <cell r="AS50">
            <v>40.3585861137894</v>
          </cell>
        </row>
        <row r="51">
          <cell r="C51" t="str">
            <v>Democratic People's Republic of Korea</v>
          </cell>
          <cell r="D51" t="str">
            <v>North Korean Won</v>
          </cell>
          <cell r="E51" t="str">
            <v>KPW</v>
          </cell>
          <cell r="F51">
            <v>1</v>
          </cell>
          <cell r="G51" t="e">
            <v>#N/A</v>
          </cell>
          <cell r="H51" t="e">
            <v>#N/A</v>
          </cell>
          <cell r="I51">
            <v>0.52800000000000002</v>
          </cell>
          <cell r="J51">
            <v>14.358000000000001</v>
          </cell>
          <cell r="K51">
            <v>82</v>
          </cell>
          <cell r="L51">
            <v>13.5</v>
          </cell>
          <cell r="M51">
            <v>24.9</v>
          </cell>
          <cell r="N51">
            <v>12299.766</v>
          </cell>
          <cell r="O51">
            <v>12855.550999999999</v>
          </cell>
          <cell r="P51">
            <v>3.0209843016525699</v>
          </cell>
          <cell r="Q51">
            <v>7.2616747342998202</v>
          </cell>
          <cell r="R51">
            <v>22.109989734764099</v>
          </cell>
          <cell r="S51">
            <v>38.561587269221199</v>
          </cell>
          <cell r="T51">
            <v>8.5925211910535495</v>
          </cell>
          <cell r="U51">
            <v>14.848315000464201</v>
          </cell>
          <cell r="V51">
            <v>77.890010265235901</v>
          </cell>
          <cell r="W51">
            <v>16.4515975344572</v>
          </cell>
          <cell r="X51">
            <v>55.804573843112102</v>
          </cell>
          <cell r="Y51">
            <v>68.217183969190998</v>
          </cell>
          <cell r="Z51">
            <v>71.000277566256102</v>
          </cell>
          <cell r="AA51">
            <v>39.352976308655002</v>
          </cell>
          <cell r="AB51">
            <v>54.548680031799002</v>
          </cell>
          <cell r="AC51">
            <v>57.6094455780703</v>
          </cell>
          <cell r="AD51">
            <v>22.085436422123799</v>
          </cell>
          <cell r="AE51">
            <v>6.8897326989797998</v>
          </cell>
          <cell r="AF51">
            <v>2.7665169699844099</v>
          </cell>
          <cell r="AG51">
            <v>6.6448182578872004</v>
          </cell>
          <cell r="AH51">
            <v>20.265611330078301</v>
          </cell>
          <cell r="AI51">
            <v>35.341876828149999</v>
          </cell>
          <cell r="AJ51">
            <v>7.8769708120639903</v>
          </cell>
          <cell r="AK51">
            <v>13.6207930721911</v>
          </cell>
          <cell r="AL51">
            <v>79.7343886699216</v>
          </cell>
          <cell r="AM51">
            <v>15.076265498071599</v>
          </cell>
          <cell r="AN51">
            <v>52.079813615145703</v>
          </cell>
          <cell r="AO51">
            <v>64.491992603039705</v>
          </cell>
          <cell r="AP51">
            <v>67.659799257145806</v>
          </cell>
          <cell r="AQ51">
            <v>37.003548117074097</v>
          </cell>
          <cell r="AR51">
            <v>52.5835337590742</v>
          </cell>
          <cell r="AS51">
            <v>27.654575054776</v>
          </cell>
        </row>
        <row r="52">
          <cell r="C52" t="str">
            <v>Democratic Republic of the Congo</v>
          </cell>
          <cell r="D52" t="str">
            <v>Franc Congolais</v>
          </cell>
          <cell r="E52" t="str">
            <v>CDF</v>
          </cell>
          <cell r="F52">
            <v>1</v>
          </cell>
          <cell r="G52" t="e">
            <v>#N/A</v>
          </cell>
          <cell r="H52" t="e">
            <v>#N/A</v>
          </cell>
          <cell r="I52">
            <v>3.1709999999999998</v>
          </cell>
          <cell r="J52">
            <v>42.393999999999998</v>
          </cell>
          <cell r="K52">
            <v>693</v>
          </cell>
          <cell r="L52">
            <v>30.1</v>
          </cell>
          <cell r="M52">
            <v>98.3</v>
          </cell>
          <cell r="N52">
            <v>38533.135000000002</v>
          </cell>
          <cell r="O52">
            <v>38733.678999999996</v>
          </cell>
          <cell r="P52">
            <v>7.6510592766459302</v>
          </cell>
          <cell r="Q52">
            <v>18.1798626039641</v>
          </cell>
          <cell r="R52">
            <v>46.482330077736997</v>
          </cell>
          <cell r="S52">
            <v>66.0574074754104</v>
          </cell>
          <cell r="T52">
            <v>18.126822538576199</v>
          </cell>
          <cell r="U52">
            <v>28.3024674737729</v>
          </cell>
          <cell r="V52">
            <v>53.517669922263003</v>
          </cell>
          <cell r="W52">
            <v>19.5750773976734</v>
          </cell>
          <cell r="X52">
            <v>44.718365116152597</v>
          </cell>
          <cell r="Y52">
            <v>49.317272004990002</v>
          </cell>
          <cell r="Z52">
            <v>50.861742757239902</v>
          </cell>
          <cell r="AA52">
            <v>25.143287718479201</v>
          </cell>
          <cell r="AB52">
            <v>31.286665359566499</v>
          </cell>
          <cell r="AC52">
            <v>32.448102133397697</v>
          </cell>
          <cell r="AD52">
            <v>8.7993048061103707</v>
          </cell>
          <cell r="AE52">
            <v>2.6559271650230398</v>
          </cell>
          <cell r="AF52">
            <v>7.4559300189377797</v>
          </cell>
          <cell r="AG52">
            <v>17.7372590917584</v>
          </cell>
          <cell r="AH52">
            <v>45.506074958694199</v>
          </cell>
          <cell r="AI52">
            <v>64.873171484691696</v>
          </cell>
          <cell r="AJ52">
            <v>17.760523083799999</v>
          </cell>
          <cell r="AK52">
            <v>27.768815866935899</v>
          </cell>
          <cell r="AL52">
            <v>54.493925041305801</v>
          </cell>
          <cell r="AM52">
            <v>19.3670965259974</v>
          </cell>
          <cell r="AN52">
            <v>44.715894402904503</v>
          </cell>
          <cell r="AO52">
            <v>49.541007968801502</v>
          </cell>
          <cell r="AP52">
            <v>51.223574708717997</v>
          </cell>
          <cell r="AQ52">
            <v>25.348797876907099</v>
          </cell>
          <cell r="AR52">
            <v>31.856478182720501</v>
          </cell>
          <cell r="AS52">
            <v>9.7780306384012796</v>
          </cell>
        </row>
        <row r="53">
          <cell r="C53" t="str">
            <v>Denmark</v>
          </cell>
          <cell r="D53" t="str">
            <v>Danish Krone</v>
          </cell>
          <cell r="E53" t="str">
            <v>DKK</v>
          </cell>
          <cell r="F53">
            <v>9.412039333333329</v>
          </cell>
          <cell r="G53" t="e">
            <v>#N/A</v>
          </cell>
          <cell r="H53" t="e">
            <v>#N/A</v>
          </cell>
          <cell r="I53">
            <v>0.42099999999999999</v>
          </cell>
          <cell r="J53">
            <v>10</v>
          </cell>
          <cell r="K53">
            <v>6</v>
          </cell>
          <cell r="L53">
            <v>2.5</v>
          </cell>
          <cell r="M53">
            <v>3.5</v>
          </cell>
          <cell r="N53">
            <v>2813.9290000000001</v>
          </cell>
          <cell r="O53">
            <v>2855.152</v>
          </cell>
          <cell r="P53">
            <v>1.95669471404573</v>
          </cell>
          <cell r="Q53">
            <v>5.3692541638399502</v>
          </cell>
          <cell r="R53">
            <v>17.420055729906501</v>
          </cell>
          <cell r="S53">
            <v>30.9175178193906</v>
          </cell>
          <cell r="T53">
            <v>7.2645045415147296</v>
          </cell>
          <cell r="U53">
            <v>12.0508015660665</v>
          </cell>
          <cell r="V53">
            <v>82.579944270093506</v>
          </cell>
          <cell r="W53">
            <v>13.497462089484101</v>
          </cell>
          <cell r="X53">
            <v>46.091568053067398</v>
          </cell>
          <cell r="Y53">
            <v>59.378044008928399</v>
          </cell>
          <cell r="Z53">
            <v>65.089808591474807</v>
          </cell>
          <cell r="AA53">
            <v>32.594105963583303</v>
          </cell>
          <cell r="AB53">
            <v>51.592346501990598</v>
          </cell>
          <cell r="AC53">
            <v>58.212236342850098</v>
          </cell>
          <cell r="AD53">
            <v>36.488376217026101</v>
          </cell>
          <cell r="AE53">
            <v>17.490135678618799</v>
          </cell>
          <cell r="AF53">
            <v>1.8478175592752999</v>
          </cell>
          <cell r="AG53">
            <v>5.0290842659164898</v>
          </cell>
          <cell r="AH53">
            <v>16.349742500574401</v>
          </cell>
          <cell r="AI53">
            <v>29.082164452190302</v>
          </cell>
          <cell r="AJ53">
            <v>6.7958553520092799</v>
          </cell>
          <cell r="AK53">
            <v>11.3206582346579</v>
          </cell>
          <cell r="AL53">
            <v>83.650257499425607</v>
          </cell>
          <cell r="AM53">
            <v>12.732421951615899</v>
          </cell>
          <cell r="AN53">
            <v>44.3896507086138</v>
          </cell>
          <cell r="AO53">
            <v>57.4615642179471</v>
          </cell>
          <cell r="AP53">
            <v>63.242727532544698</v>
          </cell>
          <cell r="AQ53">
            <v>31.657228756997899</v>
          </cell>
          <cell r="AR53">
            <v>50.510305580928801</v>
          </cell>
          <cell r="AS53">
            <v>39.260606790811799</v>
          </cell>
        </row>
        <row r="54">
          <cell r="C54" t="str">
            <v>Djibouti</v>
          </cell>
          <cell r="D54" t="str">
            <v>Djibouti Franc</v>
          </cell>
          <cell r="E54" t="str">
            <v>DJF</v>
          </cell>
          <cell r="F54">
            <v>1</v>
          </cell>
          <cell r="G54" t="e">
            <v>#N/A</v>
          </cell>
          <cell r="H54" t="e">
            <v>#N/A</v>
          </cell>
          <cell r="I54">
            <v>1.3280000000000001</v>
          </cell>
          <cell r="J54">
            <v>25.486000000000001</v>
          </cell>
          <cell r="K54">
            <v>229</v>
          </cell>
          <cell r="L54">
            <v>33.4</v>
          </cell>
          <cell r="M54">
            <v>65.3</v>
          </cell>
          <cell r="N54">
            <v>445.84199999999998</v>
          </cell>
          <cell r="O54">
            <v>442.01900000000001</v>
          </cell>
          <cell r="P54">
            <v>4.7608794146805398</v>
          </cell>
          <cell r="Q54">
            <v>11.6056809362958</v>
          </cell>
          <cell r="R54">
            <v>33.019320745914499</v>
          </cell>
          <cell r="S54">
            <v>53.263712256808503</v>
          </cell>
          <cell r="T54">
            <v>13.0364568613993</v>
          </cell>
          <cell r="U54">
            <v>21.413639809618701</v>
          </cell>
          <cell r="V54">
            <v>66.980679254085501</v>
          </cell>
          <cell r="W54">
            <v>20.244391510894001</v>
          </cell>
          <cell r="X54">
            <v>54.1889279161676</v>
          </cell>
          <cell r="Y54">
            <v>61.164941840382902</v>
          </cell>
          <cell r="Z54">
            <v>63.112492766495798</v>
          </cell>
          <cell r="AA54">
            <v>33.944536405273602</v>
          </cell>
          <cell r="AB54">
            <v>42.8681012556018</v>
          </cell>
          <cell r="AC54">
            <v>44.524517654236298</v>
          </cell>
          <cell r="AD54">
            <v>12.7917513379179</v>
          </cell>
          <cell r="AE54">
            <v>3.86818648758977</v>
          </cell>
          <cell r="AF54">
            <v>4.6622430257522902</v>
          </cell>
          <cell r="AG54">
            <v>11.3820899101622</v>
          </cell>
          <cell r="AH54">
            <v>32.449057619695097</v>
          </cell>
          <cell r="AI54">
            <v>52.413810266074499</v>
          </cell>
          <cell r="AJ54">
            <v>12.8245618401019</v>
          </cell>
          <cell r="AK54">
            <v>21.066967709532801</v>
          </cell>
          <cell r="AL54">
            <v>67.550942380304903</v>
          </cell>
          <cell r="AM54">
            <v>19.964752646379502</v>
          </cell>
          <cell r="AN54">
            <v>53.990665559625299</v>
          </cell>
          <cell r="AO54">
            <v>60.824534691947598</v>
          </cell>
          <cell r="AP54">
            <v>63.043217599243498</v>
          </cell>
          <cell r="AQ54">
            <v>34.025912913245797</v>
          </cell>
          <cell r="AR54">
            <v>43.078464952864003</v>
          </cell>
          <cell r="AS54">
            <v>13.5602768206797</v>
          </cell>
        </row>
        <row r="55">
          <cell r="C55" t="str">
            <v>Dominica</v>
          </cell>
          <cell r="D55" t="str">
            <v>East Caribbean Dollar</v>
          </cell>
          <cell r="E55" t="str">
            <v>XCD</v>
          </cell>
          <cell r="F55">
            <v>1</v>
          </cell>
          <cell r="G55" t="e">
            <v>#N/A</v>
          </cell>
          <cell r="H55" t="e">
            <v>#N/A</v>
          </cell>
          <cell r="I55">
            <v>0.42099999999999999</v>
          </cell>
          <cell r="J55">
            <v>0</v>
          </cell>
          <cell r="K55">
            <v>0</v>
          </cell>
          <cell r="L55">
            <v>15.6</v>
          </cell>
          <cell r="M55">
            <v>21.2</v>
          </cell>
          <cell r="N55" t="e">
            <v>#N/A</v>
          </cell>
          <cell r="O55" t="e">
            <v>#N/A</v>
          </cell>
          <cell r="P55" t="e">
            <v>#N/A</v>
          </cell>
          <cell r="Q55" t="e">
            <v>#N/A</v>
          </cell>
          <cell r="R55" t="e">
            <v>#N/A</v>
          </cell>
          <cell r="S55" t="e">
            <v>#N/A</v>
          </cell>
          <cell r="T55" t="e">
            <v>#N/A</v>
          </cell>
          <cell r="U55" t="e">
            <v>#N/A</v>
          </cell>
          <cell r="V55" t="e">
            <v>#N/A</v>
          </cell>
          <cell r="W55" t="e">
            <v>#N/A</v>
          </cell>
          <cell r="X55" t="e">
            <v>#N/A</v>
          </cell>
          <cell r="Y55" t="e">
            <v>#N/A</v>
          </cell>
          <cell r="Z55" t="e">
            <v>#N/A</v>
          </cell>
          <cell r="AA55" t="e">
            <v>#N/A</v>
          </cell>
          <cell r="AB55" t="e">
            <v>#N/A</v>
          </cell>
          <cell r="AC55" t="e">
            <v>#N/A</v>
          </cell>
          <cell r="AD55" t="e">
            <v>#N/A</v>
          </cell>
          <cell r="AE55" t="e">
            <v>#N/A</v>
          </cell>
          <cell r="AF55" t="e">
            <v>#N/A</v>
          </cell>
          <cell r="AG55" t="e">
            <v>#N/A</v>
          </cell>
          <cell r="AH55" t="e">
            <v>#N/A</v>
          </cell>
          <cell r="AI55" t="e">
            <v>#N/A</v>
          </cell>
          <cell r="AJ55" t="e">
            <v>#N/A</v>
          </cell>
          <cell r="AK55" t="e">
            <v>#N/A</v>
          </cell>
          <cell r="AL55" t="e">
            <v>#N/A</v>
          </cell>
          <cell r="AM55" t="e">
            <v>#N/A</v>
          </cell>
          <cell r="AN55" t="e">
            <v>#N/A</v>
          </cell>
          <cell r="AO55" t="e">
            <v>#N/A</v>
          </cell>
          <cell r="AP55" t="e">
            <v>#N/A</v>
          </cell>
          <cell r="AQ55" t="e">
            <v>#N/A</v>
          </cell>
          <cell r="AR55" t="e">
            <v>#N/A</v>
          </cell>
          <cell r="AS55" t="e">
            <v>#N/A</v>
          </cell>
        </row>
        <row r="56">
          <cell r="C56" t="str">
            <v>Dominican Republic</v>
          </cell>
          <cell r="D56" t="str">
            <v>Dominican Peso</v>
          </cell>
          <cell r="E56" t="str">
            <v>DOP</v>
          </cell>
          <cell r="F56">
            <v>1</v>
          </cell>
          <cell r="G56" t="e">
            <v>#N/A</v>
          </cell>
          <cell r="H56" t="e">
            <v>#N/A</v>
          </cell>
          <cell r="I56">
            <v>1.2350000000000001</v>
          </cell>
          <cell r="J56">
            <v>21.198</v>
          </cell>
          <cell r="K56">
            <v>92</v>
          </cell>
          <cell r="L56">
            <v>21.7</v>
          </cell>
          <cell r="M56">
            <v>30.9</v>
          </cell>
          <cell r="N56">
            <v>5246.1</v>
          </cell>
          <cell r="O56">
            <v>5282.2910000000002</v>
          </cell>
          <cell r="P56">
            <v>4.12546463086864</v>
          </cell>
          <cell r="Q56">
            <v>10.332532738605799</v>
          </cell>
          <cell r="R56">
            <v>30.6153142334305</v>
          </cell>
          <cell r="S56">
            <v>49.029526696021797</v>
          </cell>
          <cell r="T56">
            <v>12.320295076342401</v>
          </cell>
          <cell r="U56">
            <v>20.2827814948247</v>
          </cell>
          <cell r="V56">
            <v>69.384685766569405</v>
          </cell>
          <cell r="W56">
            <v>18.414212462591301</v>
          </cell>
          <cell r="X56">
            <v>51.506928956748801</v>
          </cell>
          <cell r="Y56">
            <v>60.057623758601601</v>
          </cell>
          <cell r="Z56">
            <v>63.067974304721602</v>
          </cell>
          <cell r="AA56">
            <v>33.0927164941576</v>
          </cell>
          <cell r="AB56">
            <v>44.653761842130301</v>
          </cell>
          <cell r="AC56">
            <v>46.824536322220297</v>
          </cell>
          <cell r="AD56">
            <v>17.8777568098206</v>
          </cell>
          <cell r="AE56">
            <v>6.3167114618478504</v>
          </cell>
          <cell r="AF56">
            <v>3.93041579875096</v>
          </cell>
          <cell r="AG56">
            <v>9.8473938675472503</v>
          </cell>
          <cell r="AH56">
            <v>29.306867039320601</v>
          </cell>
          <cell r="AI56">
            <v>47.327059414182202</v>
          </cell>
          <cell r="AJ56">
            <v>11.7870825367251</v>
          </cell>
          <cell r="AK56">
            <v>19.4594731717734</v>
          </cell>
          <cell r="AL56">
            <v>70.693132960679407</v>
          </cell>
          <cell r="AM56">
            <v>18.020192374861601</v>
          </cell>
          <cell r="AN56">
            <v>51.833399560910202</v>
          </cell>
          <cell r="AO56">
            <v>60.593518986364103</v>
          </cell>
          <cell r="AP56">
            <v>63.706827208118597</v>
          </cell>
          <cell r="AQ56">
            <v>33.813207186048601</v>
          </cell>
          <cell r="AR56">
            <v>45.686634833257003</v>
          </cell>
          <cell r="AS56">
            <v>18.859733399769201</v>
          </cell>
        </row>
        <row r="57">
          <cell r="C57" t="str">
            <v>Ecuador</v>
          </cell>
          <cell r="D57" t="str">
            <v>US Dollar</v>
          </cell>
          <cell r="E57" t="str">
            <v>USD</v>
          </cell>
          <cell r="F57">
            <v>1.3988592400000002</v>
          </cell>
          <cell r="G57" t="e">
            <v>#N/A</v>
          </cell>
          <cell r="H57" t="e">
            <v>#N/A</v>
          </cell>
          <cell r="I57">
            <v>1.5580000000000001</v>
          </cell>
          <cell r="J57">
            <v>21.07</v>
          </cell>
          <cell r="K57">
            <v>64</v>
          </cell>
          <cell r="L57">
            <v>10.8</v>
          </cell>
          <cell r="M57">
            <v>21.6</v>
          </cell>
          <cell r="N57">
            <v>8071.0640000000003</v>
          </cell>
          <cell r="O57">
            <v>8073.299</v>
          </cell>
          <cell r="P57">
            <v>4.0889900018138903</v>
          </cell>
          <cell r="Q57">
            <v>10.2072539630463</v>
          </cell>
          <cell r="R57">
            <v>29.653488065514001</v>
          </cell>
          <cell r="S57">
            <v>48.148112813874398</v>
          </cell>
          <cell r="T57">
            <v>11.858040030409899</v>
          </cell>
          <cell r="U57">
            <v>19.446234102467798</v>
          </cell>
          <cell r="V57">
            <v>70.346511934486003</v>
          </cell>
          <cell r="W57">
            <v>18.494624748360302</v>
          </cell>
          <cell r="X57">
            <v>52.704600037863699</v>
          </cell>
          <cell r="Y57">
            <v>61.036339198896201</v>
          </cell>
          <cell r="Z57">
            <v>64.152136570841193</v>
          </cell>
          <cell r="AA57">
            <v>34.209975289503298</v>
          </cell>
          <cell r="AB57">
            <v>45.657511822480899</v>
          </cell>
          <cell r="AC57">
            <v>47.809805497763399</v>
          </cell>
          <cell r="AD57">
            <v>17.6419118966223</v>
          </cell>
          <cell r="AE57">
            <v>6.1943753636447401</v>
          </cell>
          <cell r="AF57">
            <v>3.9013047825925899</v>
          </cell>
          <cell r="AG57">
            <v>9.7419778457356792</v>
          </cell>
          <cell r="AH57">
            <v>28.385236320369199</v>
          </cell>
          <cell r="AI57">
            <v>46.322290305363403</v>
          </cell>
          <cell r="AJ57">
            <v>11.348619690661801</v>
          </cell>
          <cell r="AK57">
            <v>18.643258474633502</v>
          </cell>
          <cell r="AL57">
            <v>71.614763679630798</v>
          </cell>
          <cell r="AM57">
            <v>17.937053984994201</v>
          </cell>
          <cell r="AN57">
            <v>52.366287932603498</v>
          </cell>
          <cell r="AO57">
            <v>61.074128432503201</v>
          </cell>
          <cell r="AP57">
            <v>64.400897328341202</v>
          </cell>
          <cell r="AQ57">
            <v>34.429233947609298</v>
          </cell>
          <cell r="AR57">
            <v>46.463843343347001</v>
          </cell>
          <cell r="AS57">
            <v>19.2484757470273</v>
          </cell>
        </row>
        <row r="58">
          <cell r="C58" t="str">
            <v>Egypt</v>
          </cell>
          <cell r="D58" t="str">
            <v>Egyptian Pound</v>
          </cell>
          <cell r="E58" t="str">
            <v>EGP</v>
          </cell>
          <cell r="F58">
            <v>1</v>
          </cell>
          <cell r="G58" t="e">
            <v>#N/A</v>
          </cell>
          <cell r="H58" t="e">
            <v>#N/A</v>
          </cell>
          <cell r="I58">
            <v>2.1840000000000002</v>
          </cell>
          <cell r="J58">
            <v>28.032</v>
          </cell>
          <cell r="K58">
            <v>33</v>
          </cell>
          <cell r="L58">
            <v>12.8</v>
          </cell>
          <cell r="M58">
            <v>24</v>
          </cell>
          <cell r="N58">
            <v>46240.42</v>
          </cell>
          <cell r="O58">
            <v>45267.663999999997</v>
          </cell>
          <cell r="P58">
            <v>5.92747427467138</v>
          </cell>
          <cell r="Q58">
            <v>13.5074962554406</v>
          </cell>
          <cell r="R58">
            <v>33.8047016008938</v>
          </cell>
          <cell r="S58">
            <v>51.3171658042899</v>
          </cell>
          <cell r="T58">
            <v>12.655246210999</v>
          </cell>
          <cell r="U58">
            <v>20.2972053454532</v>
          </cell>
          <cell r="V58">
            <v>66.195298399106306</v>
          </cell>
          <cell r="W58">
            <v>17.5124642033961</v>
          </cell>
          <cell r="X58">
            <v>51.327613373753998</v>
          </cell>
          <cell r="Y58">
            <v>59.0483001668238</v>
          </cell>
          <cell r="Z58">
            <v>61.677995139317503</v>
          </cell>
          <cell r="AA58">
            <v>33.815149170357898</v>
          </cell>
          <cell r="AB58">
            <v>44.165530935921403</v>
          </cell>
          <cell r="AC58">
            <v>46.2326055861949</v>
          </cell>
          <cell r="AD58">
            <v>14.8676850253523</v>
          </cell>
          <cell r="AE58">
            <v>4.5173032597887302</v>
          </cell>
          <cell r="AF58">
            <v>5.6853364467846204</v>
          </cell>
          <cell r="AG58">
            <v>12.9676494903735</v>
          </cell>
          <cell r="AH58">
            <v>32.502010706803901</v>
          </cell>
          <cell r="AI58">
            <v>49.613529869798398</v>
          </cell>
          <cell r="AJ58">
            <v>12.1710786754978</v>
          </cell>
          <cell r="AK58">
            <v>19.534361216430302</v>
          </cell>
          <cell r="AL58">
            <v>67.497989293196099</v>
          </cell>
          <cell r="AM58">
            <v>17.1115191629946</v>
          </cell>
          <cell r="AN58">
            <v>51.0077104928586</v>
          </cell>
          <cell r="AO58">
            <v>58.809942125575503</v>
          </cell>
          <cell r="AP58">
            <v>61.559664311372501</v>
          </cell>
          <cell r="AQ58">
            <v>33.896191329864102</v>
          </cell>
          <cell r="AR58">
            <v>44.448145148377897</v>
          </cell>
          <cell r="AS58">
            <v>16.490278800337499</v>
          </cell>
        </row>
        <row r="59">
          <cell r="C59" t="str">
            <v>El Salvador</v>
          </cell>
          <cell r="D59" t="str">
            <v>US Dollar</v>
          </cell>
          <cell r="E59" t="str">
            <v>USD</v>
          </cell>
          <cell r="F59">
            <v>1.3988592400000002</v>
          </cell>
          <cell r="G59" t="e">
            <v>#N/A</v>
          </cell>
          <cell r="H59" t="e">
            <v>#N/A</v>
          </cell>
          <cell r="I59">
            <v>0.28999999999999998</v>
          </cell>
          <cell r="J59">
            <v>17.475999999999999</v>
          </cell>
          <cell r="K59">
            <v>54</v>
          </cell>
          <cell r="L59">
            <v>8.3000000000000007</v>
          </cell>
          <cell r="M59">
            <v>16.8</v>
          </cell>
          <cell r="N59">
            <v>2875.241</v>
          </cell>
          <cell r="O59">
            <v>3251.3420000000001</v>
          </cell>
          <cell r="P59">
            <v>3.6828217182490102</v>
          </cell>
          <cell r="Q59">
            <v>9.2491725041483495</v>
          </cell>
          <cell r="R59">
            <v>29.4161428555032</v>
          </cell>
          <cell r="S59">
            <v>50.713905373497397</v>
          </cell>
          <cell r="T59">
            <v>11.726182257417699</v>
          </cell>
          <cell r="U59">
            <v>20.166970351354902</v>
          </cell>
          <cell r="V59">
            <v>70.583857144496804</v>
          </cell>
          <cell r="W59">
            <v>21.297762517994101</v>
          </cell>
          <cell r="X59">
            <v>52.287477814903198</v>
          </cell>
          <cell r="Y59">
            <v>60.069155942058401</v>
          </cell>
          <cell r="Z59">
            <v>63.073877981011002</v>
          </cell>
          <cell r="AA59">
            <v>30.989715296909001</v>
          </cell>
          <cell r="AB59">
            <v>41.776115463016801</v>
          </cell>
          <cell r="AC59">
            <v>44.140647688315497</v>
          </cell>
          <cell r="AD59">
            <v>18.296379329593599</v>
          </cell>
          <cell r="AE59">
            <v>7.5099791634857702</v>
          </cell>
          <cell r="AF59">
            <v>3.1038568074352102</v>
          </cell>
          <cell r="AG59">
            <v>7.8105594551419104</v>
          </cell>
          <cell r="AH59">
            <v>24.917249554184099</v>
          </cell>
          <cell r="AI59">
            <v>44.253265267080501</v>
          </cell>
          <cell r="AJ59">
            <v>9.9133834582766092</v>
          </cell>
          <cell r="AK59">
            <v>17.106690099042201</v>
          </cell>
          <cell r="AL59">
            <v>75.082750445815904</v>
          </cell>
          <cell r="AM59">
            <v>19.336015712896401</v>
          </cell>
          <cell r="AN59">
            <v>53.636990510380002</v>
          </cell>
          <cell r="AO59">
            <v>62.764852174886499</v>
          </cell>
          <cell r="AP59">
            <v>66.325689515283202</v>
          </cell>
          <cell r="AQ59">
            <v>34.300974797483597</v>
          </cell>
          <cell r="AR59">
            <v>46.989673802386797</v>
          </cell>
          <cell r="AS59">
            <v>21.445759935435898</v>
          </cell>
        </row>
        <row r="60">
          <cell r="C60" t="str">
            <v>Equatorial Guinea</v>
          </cell>
          <cell r="D60" t="str">
            <v>CFA Franc BEAC</v>
          </cell>
          <cell r="E60" t="str">
            <v>XAF</v>
          </cell>
          <cell r="F60">
            <v>1</v>
          </cell>
          <cell r="G60" t="e">
            <v>#N/A</v>
          </cell>
          <cell r="H60" t="e">
            <v>#N/A</v>
          </cell>
          <cell r="I60">
            <v>2.9630000000000001</v>
          </cell>
          <cell r="J60">
            <v>35.362000000000002</v>
          </cell>
          <cell r="K60">
            <v>342</v>
          </cell>
          <cell r="L60">
            <v>33.1</v>
          </cell>
          <cell r="M60">
            <v>94.1</v>
          </cell>
          <cell r="N60">
            <v>433.10599999999999</v>
          </cell>
          <cell r="O60">
            <v>411.95400000000001</v>
          </cell>
          <cell r="P60">
            <v>6.2345014846250102</v>
          </cell>
          <cell r="Q60">
            <v>14.9379135823563</v>
          </cell>
          <cell r="R60">
            <v>38.601635627306003</v>
          </cell>
          <cell r="S60">
            <v>57.2598855707379</v>
          </cell>
          <cell r="T60">
            <v>15.0842980702184</v>
          </cell>
          <cell r="U60">
            <v>23.663722044949701</v>
          </cell>
          <cell r="V60">
            <v>61.398364372693997</v>
          </cell>
          <cell r="W60">
            <v>18.658249943431901</v>
          </cell>
          <cell r="X60">
            <v>47.403868798862199</v>
          </cell>
          <cell r="Y60">
            <v>56.072878233042303</v>
          </cell>
          <cell r="Z60">
            <v>58.461439001075902</v>
          </cell>
          <cell r="AA60">
            <v>28.745618855430301</v>
          </cell>
          <cell r="AB60">
            <v>39.803189057644097</v>
          </cell>
          <cell r="AC60">
            <v>41.034065563626498</v>
          </cell>
          <cell r="AD60">
            <v>13.9944955738318</v>
          </cell>
          <cell r="AE60">
            <v>2.9369253716180301</v>
          </cell>
          <cell r="AF60">
            <v>6.4266884166678802</v>
          </cell>
          <cell r="AG60">
            <v>15.419440034567</v>
          </cell>
          <cell r="AH60">
            <v>39.953975443860202</v>
          </cell>
          <cell r="AI60">
            <v>59.2867164780534</v>
          </cell>
          <cell r="AJ60">
            <v>15.6291721891279</v>
          </cell>
          <cell r="AK60">
            <v>24.534535409293301</v>
          </cell>
          <cell r="AL60">
            <v>60.046024556139798</v>
          </cell>
          <cell r="AM60">
            <v>19.332741034193099</v>
          </cell>
          <cell r="AN60">
            <v>47.167887676779401</v>
          </cell>
          <cell r="AO60">
            <v>55.168780980400697</v>
          </cell>
          <cell r="AP60">
            <v>57.213669487369899</v>
          </cell>
          <cell r="AQ60">
            <v>27.835146642586299</v>
          </cell>
          <cell r="AR60">
            <v>37.8809284531768</v>
          </cell>
          <cell r="AS60">
            <v>12.8781368793603</v>
          </cell>
        </row>
        <row r="61">
          <cell r="C61" t="str">
            <v>Eritrea</v>
          </cell>
          <cell r="D61" t="str">
            <v>Nakfa</v>
          </cell>
          <cell r="E61" t="str">
            <v>ERN</v>
          </cell>
          <cell r="F61">
            <v>1</v>
          </cell>
          <cell r="G61" t="e">
            <v>#N/A</v>
          </cell>
          <cell r="H61" t="e">
            <v>#N/A</v>
          </cell>
          <cell r="I61">
            <v>2.173</v>
          </cell>
          <cell r="J61">
            <v>34.799999999999997</v>
          </cell>
          <cell r="K61">
            <v>501</v>
          </cell>
          <cell r="L61">
            <v>18.399999999999999</v>
          </cell>
          <cell r="M61">
            <v>46.5</v>
          </cell>
          <cell r="N61">
            <v>2618.8429999999998</v>
          </cell>
          <cell r="O61">
            <v>2608.9479999999999</v>
          </cell>
          <cell r="P61">
            <v>6.34597033880992</v>
          </cell>
          <cell r="Q61">
            <v>15.900151326368199</v>
          </cell>
          <cell r="R61">
            <v>43.617582268200103</v>
          </cell>
          <cell r="S61">
            <v>62.938939065839399</v>
          </cell>
          <cell r="T61">
            <v>17.7311125561937</v>
          </cell>
          <cell r="U61">
            <v>27.7174309418319</v>
          </cell>
          <cell r="V61">
            <v>56.382417731799897</v>
          </cell>
          <cell r="W61">
            <v>19.3213567976393</v>
          </cell>
          <cell r="X61">
            <v>48.584203024007202</v>
          </cell>
          <cell r="Y61">
            <v>52.828481890667</v>
          </cell>
          <cell r="Z61">
            <v>54.256784389136698</v>
          </cell>
          <cell r="AA61">
            <v>29.262846226367898</v>
          </cell>
          <cell r="AB61">
            <v>34.935427591497501</v>
          </cell>
          <cell r="AC61">
            <v>36.037555515928197</v>
          </cell>
          <cell r="AD61">
            <v>7.7982147077927202</v>
          </cell>
          <cell r="AE61">
            <v>2.12563334266315</v>
          </cell>
          <cell r="AF61">
            <v>6.09226400832826</v>
          </cell>
          <cell r="AG61">
            <v>15.2688363278992</v>
          </cell>
          <cell r="AH61">
            <v>41.949667068872202</v>
          </cell>
          <cell r="AI61">
            <v>60.908918077324699</v>
          </cell>
          <cell r="AJ61">
            <v>17.0472159659756</v>
          </cell>
          <cell r="AK61">
            <v>26.680830740973001</v>
          </cell>
          <cell r="AL61">
            <v>58.050332931127798</v>
          </cell>
          <cell r="AM61">
            <v>18.959251008452501</v>
          </cell>
          <cell r="AN61">
            <v>48.654630142110904</v>
          </cell>
          <cell r="AO61">
            <v>53.243261268526602</v>
          </cell>
          <cell r="AP61">
            <v>54.911289914555603</v>
          </cell>
          <cell r="AQ61">
            <v>29.695379133658498</v>
          </cell>
          <cell r="AR61">
            <v>35.952038906103098</v>
          </cell>
          <cell r="AS61">
            <v>9.3957027890168696</v>
          </cell>
        </row>
        <row r="62">
          <cell r="C62" t="str">
            <v>Estonia</v>
          </cell>
          <cell r="D62" t="str">
            <v>Kroon</v>
          </cell>
          <cell r="E62" t="str">
            <v>EEK</v>
          </cell>
          <cell r="F62">
            <v>1</v>
          </cell>
          <cell r="G62" t="e">
            <v>#N/A</v>
          </cell>
          <cell r="H62" t="e">
            <v>#N/A</v>
          </cell>
          <cell r="I62">
            <v>-0.29499999999999998</v>
          </cell>
          <cell r="J62">
            <v>10.3</v>
          </cell>
          <cell r="K62">
            <v>9</v>
          </cell>
          <cell r="L62">
            <v>1.5</v>
          </cell>
          <cell r="M62">
            <v>2.9</v>
          </cell>
          <cell r="N62">
            <v>614.31799999999998</v>
          </cell>
          <cell r="O62">
            <v>698.24</v>
          </cell>
          <cell r="P62">
            <v>2.1272370335884698</v>
          </cell>
          <cell r="Q62">
            <v>5.9938012560270097</v>
          </cell>
          <cell r="R62">
            <v>17.664141373034798</v>
          </cell>
          <cell r="S62">
            <v>29.030730012794699</v>
          </cell>
          <cell r="T62">
            <v>7.6234132810694204</v>
          </cell>
          <cell r="U62">
            <v>11.6703401170078</v>
          </cell>
          <cell r="V62">
            <v>82.335858626965205</v>
          </cell>
          <cell r="W62">
            <v>11.3665886397599</v>
          </cell>
          <cell r="X62">
            <v>48.999540954359098</v>
          </cell>
          <cell r="Y62">
            <v>62.885346025999603</v>
          </cell>
          <cell r="Z62">
            <v>68.8426840821855</v>
          </cell>
          <cell r="AA62">
            <v>37.632952314599301</v>
          </cell>
          <cell r="AB62">
            <v>57.476095442425603</v>
          </cell>
          <cell r="AC62">
            <v>61.797310187883099</v>
          </cell>
          <cell r="AD62">
            <v>33.336317672606</v>
          </cell>
          <cell r="AE62">
            <v>13.4931745447797</v>
          </cell>
          <cell r="AF62">
            <v>1.8228689275893699</v>
          </cell>
          <cell r="AG62">
            <v>5.0330831805682896</v>
          </cell>
          <cell r="AH62">
            <v>14.700962419798399</v>
          </cell>
          <cell r="AI62">
            <v>24.076392071493999</v>
          </cell>
          <cell r="AJ62">
            <v>6.2806484876260296</v>
          </cell>
          <cell r="AK62">
            <v>9.6678792392300608</v>
          </cell>
          <cell r="AL62">
            <v>85.299037580201599</v>
          </cell>
          <cell r="AM62">
            <v>9.3754296516956899</v>
          </cell>
          <cell r="AN62">
            <v>41.306427589367601</v>
          </cell>
          <cell r="AO62">
            <v>55.005728689275898</v>
          </cell>
          <cell r="AP62">
            <v>61.905791704857897</v>
          </cell>
          <cell r="AQ62">
            <v>31.930997937671901</v>
          </cell>
          <cell r="AR62">
            <v>52.5303620531622</v>
          </cell>
          <cell r="AS62">
            <v>43.992609990834097</v>
          </cell>
        </row>
        <row r="63">
          <cell r="C63" t="str">
            <v>Ethiopia</v>
          </cell>
          <cell r="D63" t="str">
            <v>Ethiopian Birr</v>
          </cell>
          <cell r="E63" t="str">
            <v>ETB</v>
          </cell>
          <cell r="F63">
            <v>1</v>
          </cell>
          <cell r="G63" t="e">
            <v>#N/A</v>
          </cell>
          <cell r="H63" t="e">
            <v>#N/A</v>
          </cell>
          <cell r="I63">
            <v>2.5339999999999998</v>
          </cell>
          <cell r="J63">
            <v>32.924999999999997</v>
          </cell>
          <cell r="K63">
            <v>353</v>
          </cell>
          <cell r="L63">
            <v>27.7</v>
          </cell>
          <cell r="M63">
            <v>59.2</v>
          </cell>
          <cell r="N63">
            <v>49607.610999999997</v>
          </cell>
          <cell r="O63">
            <v>49783.139000000003</v>
          </cell>
          <cell r="P63">
            <v>6.1558054065534398</v>
          </cell>
          <cell r="Q63">
            <v>14.9183700863966</v>
          </cell>
          <cell r="R63">
            <v>41.994685049437301</v>
          </cell>
          <cell r="S63">
            <v>63.809621874353098</v>
          </cell>
          <cell r="T63">
            <v>16.574089810533302</v>
          </cell>
          <cell r="U63">
            <v>27.076314963040598</v>
          </cell>
          <cell r="V63">
            <v>58.005314950562699</v>
          </cell>
          <cell r="W63">
            <v>21.814936824915801</v>
          </cell>
          <cell r="X63">
            <v>48.567539364070598</v>
          </cell>
          <cell r="Y63">
            <v>53.100426464801899</v>
          </cell>
          <cell r="Z63">
            <v>54.768616049662199</v>
          </cell>
          <cell r="AA63">
            <v>26.752602539154701</v>
          </cell>
          <cell r="AB63">
            <v>32.953679224746402</v>
          </cell>
          <cell r="AC63">
            <v>34.268634706073598</v>
          </cell>
          <cell r="AD63">
            <v>9.43777558649216</v>
          </cell>
          <cell r="AE63">
            <v>3.2366989009005098</v>
          </cell>
          <cell r="AF63">
            <v>5.9601283880472096</v>
          </cell>
          <cell r="AG63">
            <v>14.4648170939964</v>
          </cell>
          <cell r="AH63">
            <v>40.887725058879901</v>
          </cell>
          <cell r="AI63">
            <v>62.245691257033798</v>
          </cell>
          <cell r="AJ63">
            <v>16.154640228692699</v>
          </cell>
          <cell r="AK63">
            <v>26.4229079648835</v>
          </cell>
          <cell r="AL63">
            <v>59.112274941120099</v>
          </cell>
          <cell r="AM63">
            <v>21.357966198153999</v>
          </cell>
          <cell r="AN63">
            <v>48.416312197589598</v>
          </cell>
          <cell r="AO63">
            <v>53.5448799241044</v>
          </cell>
          <cell r="AP63">
            <v>55.382064196474303</v>
          </cell>
          <cell r="AQ63">
            <v>27.058345999435701</v>
          </cell>
          <cell r="AR63">
            <v>34.0240979983203</v>
          </cell>
          <cell r="AS63">
            <v>10.695962743530499</v>
          </cell>
        </row>
        <row r="64">
          <cell r="C64" t="str">
            <v>Example</v>
          </cell>
          <cell r="D64" t="str">
            <v>Francs</v>
          </cell>
          <cell r="E64" t="str">
            <v>FRC</v>
          </cell>
          <cell r="F64">
            <v>4348</v>
          </cell>
          <cell r="G64">
            <v>5000</v>
          </cell>
          <cell r="H64">
            <v>5000000</v>
          </cell>
          <cell r="I64">
            <v>2.218</v>
          </cell>
          <cell r="J64">
            <v>36.728999999999999</v>
          </cell>
          <cell r="K64">
            <v>1360</v>
          </cell>
          <cell r="L64">
            <v>34.9</v>
          </cell>
          <cell r="M64">
            <v>120.4</v>
          </cell>
          <cell r="N64">
            <v>3193.239</v>
          </cell>
          <cell r="O64">
            <v>3259.9450000000002</v>
          </cell>
          <cell r="P64">
            <v>6.4239475967818302</v>
          </cell>
          <cell r="Q64">
            <v>15.7609248790961</v>
          </cell>
          <cell r="R64">
            <v>42.753329769553702</v>
          </cell>
          <cell r="S64">
            <v>62.734233172023799</v>
          </cell>
          <cell r="T64">
            <v>17.061328638413901</v>
          </cell>
          <cell r="U64">
            <v>26.9924048904576</v>
          </cell>
          <cell r="V64">
            <v>57.246670230446298</v>
          </cell>
          <cell r="W64">
            <v>19.980903402469998</v>
          </cell>
          <cell r="X64">
            <v>48.062547150401201</v>
          </cell>
          <cell r="Y64">
            <v>52.960677230861798</v>
          </cell>
          <cell r="Z64">
            <v>54.619713713881097</v>
          </cell>
          <cell r="AA64">
            <v>28.081643747931199</v>
          </cell>
          <cell r="AB64">
            <v>34.638810311411099</v>
          </cell>
          <cell r="AC64">
            <v>35.924714686248002</v>
          </cell>
          <cell r="AD64">
            <v>9.18412308004506</v>
          </cell>
          <cell r="AE64">
            <v>2.6269565165651598</v>
          </cell>
          <cell r="AF64">
            <v>6.2363322080587302</v>
          </cell>
          <cell r="AG64">
            <v>15.3672531285037</v>
          </cell>
          <cell r="AH64">
            <v>41.980524211297997</v>
          </cell>
          <cell r="AI64">
            <v>62.051108224218503</v>
          </cell>
          <cell r="AJ64">
            <v>16.7893323353615</v>
          </cell>
          <cell r="AK64">
            <v>26.613271082794299</v>
          </cell>
          <cell r="AL64">
            <v>58.019475788702003</v>
          </cell>
          <cell r="AM64">
            <v>20.070584012920499</v>
          </cell>
          <cell r="AN64">
            <v>48.364282219485297</v>
          </cell>
          <cell r="AO64">
            <v>53.508049982438401</v>
          </cell>
          <cell r="AP64">
            <v>55.308325753962102</v>
          </cell>
          <cell r="AQ64">
            <v>28.293698206564802</v>
          </cell>
          <cell r="AR64">
            <v>35.237741741041702</v>
          </cell>
          <cell r="AS64">
            <v>9.6551935692166602</v>
          </cell>
        </row>
        <row r="65">
          <cell r="C65" t="str">
            <v>Fiji</v>
          </cell>
          <cell r="D65" t="str">
            <v>Fiji Dollar</v>
          </cell>
          <cell r="E65" t="str">
            <v>FJD</v>
          </cell>
          <cell r="F65">
            <v>1</v>
          </cell>
          <cell r="G65" t="e">
            <v>#N/A</v>
          </cell>
          <cell r="H65" t="e">
            <v>#N/A</v>
          </cell>
          <cell r="I65">
            <v>0.73499999999999999</v>
          </cell>
          <cell r="J65">
            <v>20.463000000000001</v>
          </cell>
          <cell r="K65">
            <v>30</v>
          </cell>
          <cell r="L65">
            <v>9.6</v>
          </cell>
          <cell r="M65">
            <v>22.4</v>
          </cell>
          <cell r="N65">
            <v>453.62700000000001</v>
          </cell>
          <cell r="O65">
            <v>438.51799999999997</v>
          </cell>
          <cell r="P65">
            <v>3.8805009401997701</v>
          </cell>
          <cell r="Q65">
            <v>9.9771398086974497</v>
          </cell>
          <cell r="R65">
            <v>29.156774177903898</v>
          </cell>
          <cell r="S65">
            <v>46.555209456227203</v>
          </cell>
          <cell r="T65">
            <v>11.9128711474405</v>
          </cell>
          <cell r="U65">
            <v>19.179634369206401</v>
          </cell>
          <cell r="V65">
            <v>70.843225822096102</v>
          </cell>
          <cell r="W65">
            <v>17.398435278323401</v>
          </cell>
          <cell r="X65">
            <v>52.091696481911299</v>
          </cell>
          <cell r="Y65">
            <v>62.3108853749887</v>
          </cell>
          <cell r="Z65">
            <v>65.622857545957402</v>
          </cell>
          <cell r="AA65">
            <v>34.693261203588001</v>
          </cell>
          <cell r="AB65">
            <v>48.224422267633997</v>
          </cell>
          <cell r="AC65">
            <v>50.625954804277498</v>
          </cell>
          <cell r="AD65">
            <v>18.751529340184799</v>
          </cell>
          <cell r="AE65">
            <v>5.2203682761387604</v>
          </cell>
          <cell r="AF65">
            <v>3.8012122649469302</v>
          </cell>
          <cell r="AG65">
            <v>9.7649355328629603</v>
          </cell>
          <cell r="AH65">
            <v>28.318335849383601</v>
          </cell>
          <cell r="AI65">
            <v>45.2708896784168</v>
          </cell>
          <cell r="AJ65">
            <v>11.559844749816399</v>
          </cell>
          <cell r="AK65">
            <v>18.553400316520602</v>
          </cell>
          <cell r="AL65">
            <v>71.681664150616399</v>
          </cell>
          <cell r="AM65">
            <v>16.952553829033199</v>
          </cell>
          <cell r="AN65">
            <v>51.1534304179076</v>
          </cell>
          <cell r="AO65">
            <v>61.682074624074701</v>
          </cell>
          <cell r="AP65">
            <v>65.218987590019097</v>
          </cell>
          <cell r="AQ65">
            <v>34.200876588874301</v>
          </cell>
          <cell r="AR65">
            <v>48.266433760985898</v>
          </cell>
          <cell r="AS65">
            <v>20.528233732708799</v>
          </cell>
        </row>
        <row r="66">
          <cell r="C66" t="str">
            <v>Finland</v>
          </cell>
          <cell r="D66" t="str">
            <v>Euro</v>
          </cell>
          <cell r="E66" t="str">
            <v>EUR</v>
          </cell>
          <cell r="F66">
            <v>1.2617355060728741</v>
          </cell>
          <cell r="G66" t="e">
            <v>#N/A</v>
          </cell>
          <cell r="H66" t="e">
            <v>#N/A</v>
          </cell>
          <cell r="I66">
            <v>0.5</v>
          </cell>
          <cell r="J66">
            <v>10.7</v>
          </cell>
          <cell r="K66">
            <v>3</v>
          </cell>
          <cell r="L66">
            <v>1.3</v>
          </cell>
          <cell r="M66">
            <v>2.2999999999999998</v>
          </cell>
          <cell r="N66">
            <v>2709.0390000000002</v>
          </cell>
          <cell r="O66">
            <v>2794.4180000000001</v>
          </cell>
          <cell r="P66">
            <v>2.2307172395820101</v>
          </cell>
          <cell r="Q66">
            <v>5.7573183700935999</v>
          </cell>
          <cell r="R66">
            <v>16.981593841949099</v>
          </cell>
          <cell r="S66">
            <v>29.2887625464233</v>
          </cell>
          <cell r="T66">
            <v>6.8979073390970003</v>
          </cell>
          <cell r="U66">
            <v>11.224275471855499</v>
          </cell>
          <cell r="V66">
            <v>83.018406158050894</v>
          </cell>
          <cell r="W66">
            <v>12.307168704474201</v>
          </cell>
          <cell r="X66">
            <v>44.655687865696997</v>
          </cell>
          <cell r="Y66">
            <v>58.3220470432504</v>
          </cell>
          <cell r="Z66">
            <v>64.991718465478002</v>
          </cell>
          <cell r="AA66">
            <v>32.348519161222903</v>
          </cell>
          <cell r="AB66">
            <v>52.684549761003801</v>
          </cell>
          <cell r="AC66">
            <v>59.936678652466803</v>
          </cell>
          <cell r="AD66">
            <v>38.362718292353897</v>
          </cell>
          <cell r="AE66">
            <v>18.026687692572899</v>
          </cell>
          <cell r="AF66">
            <v>2.04675893155569</v>
          </cell>
          <cell r="AG66">
            <v>5.3134140991075798</v>
          </cell>
          <cell r="AH66">
            <v>15.7147212764876</v>
          </cell>
          <cell r="AI66">
            <v>27.146833437230899</v>
          </cell>
          <cell r="AJ66">
            <v>6.4015834424198497</v>
          </cell>
          <cell r="AK66">
            <v>10.401307177380099</v>
          </cell>
          <cell r="AL66">
            <v>84.285278723512405</v>
          </cell>
          <cell r="AM66">
            <v>11.4321121607433</v>
          </cell>
          <cell r="AN66">
            <v>41.3296078110004</v>
          </cell>
          <cell r="AO66">
            <v>54.702875518265301</v>
          </cell>
          <cell r="AP66">
            <v>61.432470017012498</v>
          </cell>
          <cell r="AQ66">
            <v>29.897495650257099</v>
          </cell>
          <cell r="AR66">
            <v>50.000357856269197</v>
          </cell>
          <cell r="AS66">
            <v>42.955670912511998</v>
          </cell>
        </row>
        <row r="67">
          <cell r="C67" t="str">
            <v>France</v>
          </cell>
          <cell r="D67" t="str">
            <v>Euro</v>
          </cell>
          <cell r="E67" t="str">
            <v>EUR</v>
          </cell>
          <cell r="F67">
            <v>1.2617355060728741</v>
          </cell>
          <cell r="G67" t="e">
            <v>#N/A</v>
          </cell>
          <cell r="H67" t="e">
            <v>#N/A</v>
          </cell>
          <cell r="I67">
            <v>0.45</v>
          </cell>
          <cell r="J67">
            <v>12.3</v>
          </cell>
          <cell r="K67">
            <v>8</v>
          </cell>
          <cell r="L67">
            <v>2.2000000000000002</v>
          </cell>
          <cell r="M67">
            <v>4.3</v>
          </cell>
          <cell r="N67">
            <v>31341.652999999998</v>
          </cell>
          <cell r="O67">
            <v>33053.692000000003</v>
          </cell>
          <cell r="P67">
            <v>2.5655730410900799</v>
          </cell>
          <cell r="Q67">
            <v>6.4211131429475001</v>
          </cell>
          <cell r="R67">
            <v>19.417871801465001</v>
          </cell>
          <cell r="S67">
            <v>31.479513859718899</v>
          </cell>
          <cell r="T67">
            <v>7.8013562335081703</v>
          </cell>
          <cell r="U67">
            <v>12.9967586585175</v>
          </cell>
          <cell r="V67">
            <v>80.582128198535003</v>
          </cell>
          <cell r="W67">
            <v>12.0616420582539</v>
          </cell>
          <cell r="X67">
            <v>44.348994611101098</v>
          </cell>
          <cell r="Y67">
            <v>57.4166748639582</v>
          </cell>
          <cell r="Z67">
            <v>63.466930094593302</v>
          </cell>
          <cell r="AA67">
            <v>32.287352552847203</v>
          </cell>
          <cell r="AB67">
            <v>51.4052880363394</v>
          </cell>
          <cell r="AC67">
            <v>57.214844411684297</v>
          </cell>
          <cell r="AD67">
            <v>36.233133587433898</v>
          </cell>
          <cell r="AE67">
            <v>17.115198103941701</v>
          </cell>
          <cell r="AF67">
            <v>2.3033705281697401</v>
          </cell>
          <cell r="AG67">
            <v>5.7919006445634</v>
          </cell>
          <cell r="AH67">
            <v>17.597589400905701</v>
          </cell>
          <cell r="AI67">
            <v>28.7169039997105</v>
          </cell>
          <cell r="AJ67">
            <v>7.0908901795297199</v>
          </cell>
          <cell r="AK67">
            <v>11.805688756342301</v>
          </cell>
          <cell r="AL67">
            <v>82.402410599094395</v>
          </cell>
          <cell r="AM67">
            <v>11.1193145988049</v>
          </cell>
          <cell r="AN67">
            <v>42.236927723535402</v>
          </cell>
          <cell r="AO67">
            <v>55.208105043152202</v>
          </cell>
          <cell r="AP67">
            <v>61.3804533544997</v>
          </cell>
          <cell r="AQ67">
            <v>31.1176131247305</v>
          </cell>
          <cell r="AR67">
            <v>50.261138755694802</v>
          </cell>
          <cell r="AS67">
            <v>40.165482875559</v>
          </cell>
        </row>
        <row r="68">
          <cell r="C68" t="str">
            <v>Gabon</v>
          </cell>
          <cell r="D68" t="str">
            <v>CFA Franc BEAC</v>
          </cell>
          <cell r="E68" t="str">
            <v>XAF</v>
          </cell>
          <cell r="F68">
            <v>1</v>
          </cell>
          <cell r="G68" t="e">
            <v>#N/A</v>
          </cell>
          <cell r="H68" t="e">
            <v>#N/A</v>
          </cell>
          <cell r="I68">
            <v>2.2469999999999999</v>
          </cell>
          <cell r="J68">
            <v>30.555</v>
          </cell>
          <cell r="K68">
            <v>291</v>
          </cell>
          <cell r="L68">
            <v>23.2</v>
          </cell>
          <cell r="M68">
            <v>50.8</v>
          </cell>
          <cell r="N68">
            <v>872.43200000000002</v>
          </cell>
          <cell r="O68">
            <v>852.86</v>
          </cell>
          <cell r="P68">
            <v>5.7329396445797496</v>
          </cell>
          <cell r="Q68">
            <v>13.850248500742699</v>
          </cell>
          <cell r="R68">
            <v>37.066384543437202</v>
          </cell>
          <cell r="S68">
            <v>56.65679388193</v>
          </cell>
          <cell r="T68">
            <v>14.549558017129099</v>
          </cell>
          <cell r="U68">
            <v>23.216136042694401</v>
          </cell>
          <cell r="V68">
            <v>62.933615456562798</v>
          </cell>
          <cell r="W68">
            <v>19.590409338492901</v>
          </cell>
          <cell r="X68">
            <v>50.4379710968878</v>
          </cell>
          <cell r="Y68">
            <v>56.2903469840629</v>
          </cell>
          <cell r="Z68">
            <v>58.385753846718103</v>
          </cell>
          <cell r="AA68">
            <v>30.8475617583949</v>
          </cell>
          <cell r="AB68">
            <v>38.795344508225298</v>
          </cell>
          <cell r="AC68">
            <v>40.4738707429347</v>
          </cell>
          <cell r="AD68">
            <v>12.495644359675</v>
          </cell>
          <cell r="AE68">
            <v>4.5478616098446603</v>
          </cell>
          <cell r="AF68">
            <v>5.73353188096522</v>
          </cell>
          <cell r="AG68">
            <v>13.864643669535401</v>
          </cell>
          <cell r="AH68">
            <v>37.188870389043899</v>
          </cell>
          <cell r="AI68">
            <v>56.845554956264799</v>
          </cell>
          <cell r="AJ68">
            <v>14.608493773890199</v>
          </cell>
          <cell r="AK68">
            <v>23.324226719508498</v>
          </cell>
          <cell r="AL68">
            <v>62.811129610956101</v>
          </cell>
          <cell r="AM68">
            <v>19.6566845672209</v>
          </cell>
          <cell r="AN68">
            <v>49.079450320099397</v>
          </cell>
          <cell r="AO68">
            <v>54.911005323265201</v>
          </cell>
          <cell r="AP68">
            <v>57.136341251788103</v>
          </cell>
          <cell r="AQ68">
            <v>29.422765752878501</v>
          </cell>
          <cell r="AR68">
            <v>37.479656684567203</v>
          </cell>
          <cell r="AS68">
            <v>13.731679290856601</v>
          </cell>
        </row>
        <row r="69">
          <cell r="C69" t="str">
            <v>Gambia</v>
          </cell>
          <cell r="D69" t="str">
            <v>Dalasi</v>
          </cell>
          <cell r="E69" t="str">
            <v>GMD</v>
          </cell>
          <cell r="F69">
            <v>1</v>
          </cell>
          <cell r="G69" t="e">
            <v>#N/A</v>
          </cell>
          <cell r="H69" t="e">
            <v>#N/A</v>
          </cell>
          <cell r="I69">
            <v>3.242</v>
          </cell>
          <cell r="J69">
            <v>42.524999999999999</v>
          </cell>
          <cell r="K69">
            <v>706</v>
          </cell>
          <cell r="L69">
            <v>29.9</v>
          </cell>
          <cell r="M69">
            <v>68.900000000000006</v>
          </cell>
          <cell r="N69">
            <v>985.53099999999995</v>
          </cell>
          <cell r="O69">
            <v>1005.393</v>
          </cell>
          <cell r="P69">
            <v>7.9772224313593396</v>
          </cell>
          <cell r="Q69">
            <v>18.7791150151543</v>
          </cell>
          <cell r="R69">
            <v>47.074825652364098</v>
          </cell>
          <cell r="S69">
            <v>66.716927219945404</v>
          </cell>
          <cell r="T69">
            <v>18.188468957343801</v>
          </cell>
          <cell r="U69">
            <v>28.295710637209801</v>
          </cell>
          <cell r="V69">
            <v>52.925174347636002</v>
          </cell>
          <cell r="W69">
            <v>19.6421015675813</v>
          </cell>
          <cell r="X69">
            <v>44.766425409246402</v>
          </cell>
          <cell r="Y69">
            <v>49.040973850645003</v>
          </cell>
          <cell r="Z69">
            <v>50.502013635289003</v>
          </cell>
          <cell r="AA69">
            <v>25.124323841665099</v>
          </cell>
          <cell r="AB69">
            <v>30.8599120677077</v>
          </cell>
          <cell r="AC69">
            <v>31.854299864742998</v>
          </cell>
          <cell r="AD69">
            <v>8.1587489383895608</v>
          </cell>
          <cell r="AE69">
            <v>2.4231607123469501</v>
          </cell>
          <cell r="AF69">
            <v>7.65760254945081</v>
          </cell>
          <cell r="AG69">
            <v>18.017929307246</v>
          </cell>
          <cell r="AH69">
            <v>45.311335965140003</v>
          </cell>
          <cell r="AI69">
            <v>64.810676024201499</v>
          </cell>
          <cell r="AJ69">
            <v>17.494352954516302</v>
          </cell>
          <cell r="AK69">
            <v>27.293406657894</v>
          </cell>
          <cell r="AL69">
            <v>54.688664034859997</v>
          </cell>
          <cell r="AM69">
            <v>19.499340059061499</v>
          </cell>
          <cell r="AN69">
            <v>46.6391749296047</v>
          </cell>
          <cell r="AO69">
            <v>51.106582202183603</v>
          </cell>
          <cell r="AP69">
            <v>52.481964764027602</v>
          </cell>
          <cell r="AQ69">
            <v>27.139834870543201</v>
          </cell>
          <cell r="AR69">
            <v>32.982624704966099</v>
          </cell>
          <cell r="AS69">
            <v>8.0494891052553594</v>
          </cell>
        </row>
        <row r="70">
          <cell r="C70" t="str">
            <v>Georgia</v>
          </cell>
          <cell r="D70" t="str">
            <v>Lari</v>
          </cell>
          <cell r="E70" t="str">
            <v>GEL</v>
          </cell>
          <cell r="F70">
            <v>1</v>
          </cell>
          <cell r="G70" t="e">
            <v>#N/A</v>
          </cell>
          <cell r="H70" t="e">
            <v>#N/A</v>
          </cell>
          <cell r="I70">
            <v>-1.214</v>
          </cell>
          <cell r="J70">
            <v>13.332000000000001</v>
          </cell>
          <cell r="K70">
            <v>36</v>
          </cell>
          <cell r="L70">
            <v>7.2</v>
          </cell>
          <cell r="M70">
            <v>11.9</v>
          </cell>
          <cell r="N70">
            <v>1908.1510000000001</v>
          </cell>
          <cell r="O70">
            <v>2091.6610000000001</v>
          </cell>
          <cell r="P70">
            <v>3.0109776427546899</v>
          </cell>
          <cell r="Q70">
            <v>7.4446414356096504</v>
          </cell>
          <cell r="R70">
            <v>19.106401956658601</v>
          </cell>
          <cell r="S70">
            <v>33.803561667813497</v>
          </cell>
          <cell r="T70">
            <v>7.4529217027373598</v>
          </cell>
          <cell r="U70">
            <v>11.661760521048899</v>
          </cell>
          <cell r="V70">
            <v>80.893598043341399</v>
          </cell>
          <cell r="W70">
            <v>14.697159711154899</v>
          </cell>
          <cell r="X70">
            <v>51.639519094662802</v>
          </cell>
          <cell r="Y70">
            <v>64.904035372462602</v>
          </cell>
          <cell r="Z70">
            <v>69.771050613918902</v>
          </cell>
          <cell r="AA70">
            <v>36.942359383507899</v>
          </cell>
          <cell r="AB70">
            <v>55.073890902763999</v>
          </cell>
          <cell r="AC70">
            <v>58.381123925727003</v>
          </cell>
          <cell r="AD70">
            <v>29.2540789486786</v>
          </cell>
          <cell r="AE70">
            <v>11.1225474294225</v>
          </cell>
          <cell r="AF70">
            <v>2.6248517326660501</v>
          </cell>
          <cell r="AG70">
            <v>6.3448618107810004</v>
          </cell>
          <cell r="AH70">
            <v>15.7046003152519</v>
          </cell>
          <cell r="AI70">
            <v>28.409431547463999</v>
          </cell>
          <cell r="AJ70">
            <v>5.9913628451264298</v>
          </cell>
          <cell r="AK70">
            <v>9.3597385044708492</v>
          </cell>
          <cell r="AL70">
            <v>84.295399684748105</v>
          </cell>
          <cell r="AM70">
            <v>12.704831232212101</v>
          </cell>
          <cell r="AN70">
            <v>47.670057432824898</v>
          </cell>
          <cell r="AO70">
            <v>62.049060531319398</v>
          </cell>
          <cell r="AP70">
            <v>67.621330607588902</v>
          </cell>
          <cell r="AQ70">
            <v>34.965226200612797</v>
          </cell>
          <cell r="AR70">
            <v>54.916499375376802</v>
          </cell>
          <cell r="AS70">
            <v>36.6253422519232</v>
          </cell>
        </row>
        <row r="71">
          <cell r="C71" t="str">
            <v>Germany</v>
          </cell>
          <cell r="D71" t="str">
            <v>Euro</v>
          </cell>
          <cell r="E71" t="str">
            <v>EUR</v>
          </cell>
          <cell r="F71">
            <v>1.2617355060728741</v>
          </cell>
          <cell r="G71" t="e">
            <v>#N/A</v>
          </cell>
          <cell r="H71" t="e">
            <v>#N/A</v>
          </cell>
          <cell r="I71">
            <v>6.3E-2</v>
          </cell>
          <cell r="J71">
            <v>8.5</v>
          </cell>
          <cell r="K71">
            <v>6</v>
          </cell>
          <cell r="L71">
            <v>2.1</v>
          </cell>
          <cell r="M71">
            <v>3.7</v>
          </cell>
          <cell r="N71">
            <v>39652.724000000002</v>
          </cell>
          <cell r="O71">
            <v>41035.821000000004</v>
          </cell>
          <cell r="P71">
            <v>1.77442538373908</v>
          </cell>
          <cell r="Q71">
            <v>4.3854036358258801</v>
          </cell>
          <cell r="R71">
            <v>13.4601572391344</v>
          </cell>
          <cell r="S71">
            <v>24.310460991280198</v>
          </cell>
          <cell r="T71">
            <v>5.2961254313827197</v>
          </cell>
          <cell r="U71">
            <v>9.0747536033085705</v>
          </cell>
          <cell r="V71">
            <v>86.539842760865596</v>
          </cell>
          <cell r="W71">
            <v>10.8503037521458</v>
          </cell>
          <cell r="X71">
            <v>44.760685293651001</v>
          </cell>
          <cell r="Y71">
            <v>61.277041143503801</v>
          </cell>
          <cell r="Z71">
            <v>67.687170747714603</v>
          </cell>
          <cell r="AA71">
            <v>33.910381541505203</v>
          </cell>
          <cell r="AB71">
            <v>56.836866995568798</v>
          </cell>
          <cell r="AC71">
            <v>61.888071043996902</v>
          </cell>
          <cell r="AD71">
            <v>41.779157467214603</v>
          </cell>
          <cell r="AE71">
            <v>18.852672013151</v>
          </cell>
          <cell r="AF71">
            <v>1.6207815118405899</v>
          </cell>
          <cell r="AG71">
            <v>4.0099672917473699</v>
          </cell>
          <cell r="AH71">
            <v>12.3308486992377</v>
          </cell>
          <cell r="AI71">
            <v>22.366195622112699</v>
          </cell>
          <cell r="AJ71">
            <v>4.8538641398206703</v>
          </cell>
          <cell r="AK71">
            <v>8.3208814074902993</v>
          </cell>
          <cell r="AL71">
            <v>87.669151300762294</v>
          </cell>
          <cell r="AM71">
            <v>10.035346922875</v>
          </cell>
          <cell r="AN71">
            <v>42.165977378641898</v>
          </cell>
          <cell r="AO71">
            <v>57.814208225540298</v>
          </cell>
          <cell r="AP71">
            <v>64.121005401597799</v>
          </cell>
          <cell r="AQ71">
            <v>32.130630455766898</v>
          </cell>
          <cell r="AR71">
            <v>54.085658478722799</v>
          </cell>
          <cell r="AS71">
            <v>45.503173922120403</v>
          </cell>
        </row>
        <row r="72">
          <cell r="C72" t="str">
            <v>Ghana</v>
          </cell>
          <cell r="D72" t="str">
            <v>Cedi</v>
          </cell>
          <cell r="E72" t="str">
            <v>GHS</v>
          </cell>
          <cell r="F72">
            <v>1</v>
          </cell>
          <cell r="G72" t="e">
            <v>#N/A</v>
          </cell>
          <cell r="H72" t="e">
            <v>#N/A</v>
          </cell>
          <cell r="I72">
            <v>2.3940000000000001</v>
          </cell>
          <cell r="J72">
            <v>33.131</v>
          </cell>
          <cell r="K72">
            <v>319</v>
          </cell>
          <cell r="L72">
            <v>28.3</v>
          </cell>
          <cell r="M72">
            <v>61.6</v>
          </cell>
          <cell r="N72">
            <v>13635.406000000001</v>
          </cell>
          <cell r="O72">
            <v>13774.486999999999</v>
          </cell>
          <cell r="P72">
            <v>6.3829709214379102</v>
          </cell>
          <cell r="Q72">
            <v>15.193056957746601</v>
          </cell>
          <cell r="R72">
            <v>39.845692896859802</v>
          </cell>
          <cell r="S72">
            <v>59.7948091901334</v>
          </cell>
          <cell r="T72">
            <v>15.499083782323799</v>
          </cell>
          <cell r="U72">
            <v>24.6526359391132</v>
          </cell>
          <cell r="V72">
            <v>60.154307103140198</v>
          </cell>
          <cell r="W72">
            <v>19.949116293273601</v>
          </cell>
          <cell r="X72">
            <v>49.714801304779598</v>
          </cell>
          <cell r="Y72">
            <v>55.299893527189397</v>
          </cell>
          <cell r="Z72">
            <v>57.066404916729297</v>
          </cell>
          <cell r="AA72">
            <v>29.7656850115061</v>
          </cell>
          <cell r="AB72">
            <v>37.1172886234557</v>
          </cell>
          <cell r="AC72">
            <v>38.522013939298901</v>
          </cell>
          <cell r="AD72">
            <v>10.4395057983605</v>
          </cell>
          <cell r="AE72">
            <v>3.0879021864108802</v>
          </cell>
          <cell r="AF72">
            <v>6.0432087234900296</v>
          </cell>
          <cell r="AG72">
            <v>14.4059811447062</v>
          </cell>
          <cell r="AH72">
            <v>37.798968484271001</v>
          </cell>
          <cell r="AI72">
            <v>56.768858252216603</v>
          </cell>
          <cell r="AJ72">
            <v>14.7202142627889</v>
          </cell>
          <cell r="AK72">
            <v>23.392987339564801</v>
          </cell>
          <cell r="AL72">
            <v>62.201031515728999</v>
          </cell>
          <cell r="AM72">
            <v>18.969889767945599</v>
          </cell>
          <cell r="AN72">
            <v>50.462583470440698</v>
          </cell>
          <cell r="AO72">
            <v>56.524493434855302</v>
          </cell>
          <cell r="AP72">
            <v>58.503746818302602</v>
          </cell>
          <cell r="AQ72">
            <v>31.492693702495099</v>
          </cell>
          <cell r="AR72">
            <v>39.5338570503569</v>
          </cell>
          <cell r="AS72">
            <v>11.738448045288401</v>
          </cell>
        </row>
        <row r="73">
          <cell r="C73" t="str">
            <v>Greece</v>
          </cell>
          <cell r="D73" t="str">
            <v>Euro</v>
          </cell>
          <cell r="E73" t="str">
            <v>EUR</v>
          </cell>
          <cell r="F73">
            <v>1.2617355060728741</v>
          </cell>
          <cell r="G73" t="e">
            <v>#N/A</v>
          </cell>
          <cell r="H73" t="e">
            <v>#N/A</v>
          </cell>
          <cell r="I73">
            <v>-0.40300000000000002</v>
          </cell>
          <cell r="J73">
            <v>8.5</v>
          </cell>
          <cell r="K73">
            <v>3</v>
          </cell>
          <cell r="L73">
            <v>2.9</v>
          </cell>
          <cell r="M73">
            <v>4.5999999999999996</v>
          </cell>
          <cell r="N73">
            <v>5345.1689999999999</v>
          </cell>
          <cell r="O73">
            <v>5609.4480000000003</v>
          </cell>
          <cell r="P73">
            <v>2.0394677885769399</v>
          </cell>
          <cell r="Q73">
            <v>5.1237669005414004</v>
          </cell>
          <cell r="R73">
            <v>15.358148638518299</v>
          </cell>
          <cell r="S73">
            <v>26.0226383861764</v>
          </cell>
          <cell r="T73">
            <v>6.1830037553536696</v>
          </cell>
          <cell r="U73">
            <v>10.2343817379769</v>
          </cell>
          <cell r="V73">
            <v>84.641851361481699</v>
          </cell>
          <cell r="W73">
            <v>10.6644897476581</v>
          </cell>
          <cell r="X73">
            <v>46.678243475557103</v>
          </cell>
          <cell r="Y73">
            <v>59.718093104259196</v>
          </cell>
          <cell r="Z73">
            <v>65.183065306260701</v>
          </cell>
          <cell r="AA73">
            <v>36.013753727899001</v>
          </cell>
          <cell r="AB73">
            <v>54.5185755586025</v>
          </cell>
          <cell r="AC73">
            <v>60.2699746256854</v>
          </cell>
          <cell r="AD73">
            <v>37.963607885924702</v>
          </cell>
          <cell r="AE73">
            <v>19.4587860552211</v>
          </cell>
          <cell r="AF73">
            <v>1.8337276680343599</v>
          </cell>
          <cell r="AG73">
            <v>4.6211855426772797</v>
          </cell>
          <cell r="AH73">
            <v>13.882114603789899</v>
          </cell>
          <cell r="AI73">
            <v>23.55081997373</v>
          </cell>
          <cell r="AJ73">
            <v>5.5949890256581396</v>
          </cell>
          <cell r="AK73">
            <v>9.2609290611126092</v>
          </cell>
          <cell r="AL73">
            <v>86.117885396210099</v>
          </cell>
          <cell r="AM73">
            <v>9.66870536994014</v>
          </cell>
          <cell r="AN73">
            <v>43.383306164884701</v>
          </cell>
          <cell r="AO73">
            <v>57.077380875979202</v>
          </cell>
          <cell r="AP73">
            <v>62.8748497178332</v>
          </cell>
          <cell r="AQ73">
            <v>33.714600794944502</v>
          </cell>
          <cell r="AR73">
            <v>53.206144347893101</v>
          </cell>
          <cell r="AS73">
            <v>42.734579231325398</v>
          </cell>
        </row>
        <row r="74">
          <cell r="C74" t="str">
            <v>Grenada</v>
          </cell>
          <cell r="D74" t="str">
            <v>East Caribbean Dollar</v>
          </cell>
          <cell r="E74" t="str">
            <v>XCD</v>
          </cell>
          <cell r="F74">
            <v>1</v>
          </cell>
          <cell r="G74" t="e">
            <v>#N/A</v>
          </cell>
          <cell r="H74" t="e">
            <v>#N/A</v>
          </cell>
          <cell r="I74">
            <v>0.40600000000000003</v>
          </cell>
          <cell r="J74">
            <v>19.334</v>
          </cell>
          <cell r="K74">
            <v>27</v>
          </cell>
          <cell r="L74">
            <v>6</v>
          </cell>
          <cell r="M74">
            <v>11.8</v>
          </cell>
          <cell r="N74">
            <v>53.584000000000003</v>
          </cell>
          <cell r="O74">
            <v>53.241</v>
          </cell>
          <cell r="P74">
            <v>3.7903105404598398</v>
          </cell>
          <cell r="Q74">
            <v>9.4972379814870092</v>
          </cell>
          <cell r="R74">
            <v>27.056584054941801</v>
          </cell>
          <cell r="S74">
            <v>46.030531501940899</v>
          </cell>
          <cell r="T74">
            <v>10.766273514481901</v>
          </cell>
          <cell r="U74">
            <v>17.559346073454801</v>
          </cell>
          <cell r="V74">
            <v>72.943415945058206</v>
          </cell>
          <cell r="W74">
            <v>18.973947446999102</v>
          </cell>
          <cell r="X74">
            <v>55.135861451179402</v>
          </cell>
          <cell r="Y74">
            <v>64.093759331143602</v>
          </cell>
          <cell r="Z74">
            <v>67.094655120931606</v>
          </cell>
          <cell r="AA74">
            <v>36.161914004180304</v>
          </cell>
          <cell r="AB74">
            <v>48.1207076739325</v>
          </cell>
          <cell r="AC74">
            <v>50.115706180949502</v>
          </cell>
          <cell r="AD74">
            <v>17.807554493878801</v>
          </cell>
          <cell r="AE74">
            <v>5.8487608241266003</v>
          </cell>
          <cell r="AF74">
            <v>3.6306605811310799</v>
          </cell>
          <cell r="AG74">
            <v>9.1020078510921998</v>
          </cell>
          <cell r="AH74">
            <v>25.9067260194211</v>
          </cell>
          <cell r="AI74">
            <v>44.463853045585203</v>
          </cell>
          <cell r="AJ74">
            <v>10.3040889540016</v>
          </cell>
          <cell r="AK74">
            <v>16.8047181683289</v>
          </cell>
          <cell r="AL74">
            <v>74.0932739805789</v>
          </cell>
          <cell r="AM74">
            <v>18.557127026164</v>
          </cell>
          <cell r="AN74">
            <v>52.884055521120899</v>
          </cell>
          <cell r="AO74">
            <v>62.604008189177499</v>
          </cell>
          <cell r="AP74">
            <v>65.614845701620894</v>
          </cell>
          <cell r="AQ74">
            <v>34.326928494956903</v>
          </cell>
          <cell r="AR74">
            <v>47.057718675456897</v>
          </cell>
          <cell r="AS74">
            <v>21.209218459457901</v>
          </cell>
        </row>
        <row r="75">
          <cell r="C75" t="str">
            <v>Guatemala</v>
          </cell>
          <cell r="D75" t="str">
            <v>Quetzal</v>
          </cell>
          <cell r="E75" t="str">
            <v>GTQ</v>
          </cell>
          <cell r="F75">
            <v>1</v>
          </cell>
          <cell r="G75" t="e">
            <v>#N/A</v>
          </cell>
          <cell r="H75" t="e">
            <v>#N/A</v>
          </cell>
          <cell r="I75">
            <v>2.0750000000000002</v>
          </cell>
          <cell r="J75">
            <v>27.465</v>
          </cell>
          <cell r="K75">
            <v>88</v>
          </cell>
          <cell r="L75">
            <v>13.4</v>
          </cell>
          <cell r="M75">
            <v>29.1</v>
          </cell>
          <cell r="N75">
            <v>7993.268</v>
          </cell>
          <cell r="O75">
            <v>8349.6290000000008</v>
          </cell>
          <cell r="P75">
            <v>5.4869047303305702</v>
          </cell>
          <cell r="Q75">
            <v>13.323799477260099</v>
          </cell>
          <cell r="R75">
            <v>38.111883650091599</v>
          </cell>
          <cell r="S75">
            <v>59.418600752533301</v>
          </cell>
          <cell r="T75">
            <v>15.0396433598874</v>
          </cell>
          <cell r="U75">
            <v>24.7880841728314</v>
          </cell>
          <cell r="V75">
            <v>61.888116349908401</v>
          </cell>
          <cell r="W75">
            <v>21.306717102441699</v>
          </cell>
          <cell r="X75">
            <v>50.390328461400301</v>
          </cell>
          <cell r="Y75">
            <v>55.3976921579509</v>
          </cell>
          <cell r="Z75">
            <v>57.400089675461899</v>
          </cell>
          <cell r="AA75">
            <v>29.083611358958599</v>
          </cell>
          <cell r="AB75">
            <v>36.093372573020197</v>
          </cell>
          <cell r="AC75">
            <v>37.727109862949703</v>
          </cell>
          <cell r="AD75">
            <v>11.497787888508199</v>
          </cell>
          <cell r="AE75">
            <v>4.4880266744465498</v>
          </cell>
          <cell r="AF75">
            <v>5.0503321764356199</v>
          </cell>
          <cell r="AG75">
            <v>12.269119981258999</v>
          </cell>
          <cell r="AH75">
            <v>35.197312359626999</v>
          </cell>
          <cell r="AI75">
            <v>55.327655875488603</v>
          </cell>
          <cell r="AJ75">
            <v>13.884413307465501</v>
          </cell>
          <cell r="AK75">
            <v>22.9281923783679</v>
          </cell>
          <cell r="AL75">
            <v>64.802687640372994</v>
          </cell>
          <cell r="AM75">
            <v>20.1303435158616</v>
          </cell>
          <cell r="AN75">
            <v>51.263307627201101</v>
          </cell>
          <cell r="AO75">
            <v>57.299276410963898</v>
          </cell>
          <cell r="AP75">
            <v>59.612948072303602</v>
          </cell>
          <cell r="AQ75">
            <v>31.1329641113396</v>
          </cell>
          <cell r="AR75">
            <v>39.482604556441999</v>
          </cell>
          <cell r="AS75">
            <v>13.539380013171799</v>
          </cell>
        </row>
        <row r="76">
          <cell r="C76" t="str">
            <v>Guinea</v>
          </cell>
          <cell r="D76" t="str">
            <v>Guinea Franc</v>
          </cell>
          <cell r="E76" t="str">
            <v>GNF</v>
          </cell>
          <cell r="F76">
            <v>1</v>
          </cell>
          <cell r="G76" t="e">
            <v>#N/A</v>
          </cell>
          <cell r="H76" t="e">
            <v>#N/A</v>
          </cell>
          <cell r="I76">
            <v>2.7069999999999999</v>
          </cell>
          <cell r="J76">
            <v>37.337000000000003</v>
          </cell>
          <cell r="K76">
            <v>679</v>
          </cell>
          <cell r="L76">
            <v>31.3</v>
          </cell>
          <cell r="M76">
            <v>93.7</v>
          </cell>
          <cell r="N76">
            <v>6322.2370000000001</v>
          </cell>
          <cell r="O76">
            <v>6286.3530000000001</v>
          </cell>
          <cell r="P76">
            <v>6.8586482917359799</v>
          </cell>
          <cell r="Q76">
            <v>16.320267652098501</v>
          </cell>
          <cell r="R76">
            <v>42.756179497858099</v>
          </cell>
          <cell r="S76">
            <v>62.773413903970997</v>
          </cell>
          <cell r="T76">
            <v>16.6566201172148</v>
          </cell>
          <cell r="U76">
            <v>26.435911845759701</v>
          </cell>
          <cell r="V76">
            <v>57.243820502141901</v>
          </cell>
          <cell r="W76">
            <v>20.017234406112902</v>
          </cell>
          <cell r="X76">
            <v>47.068751139825999</v>
          </cell>
          <cell r="Y76">
            <v>52.460782473039203</v>
          </cell>
          <cell r="Z76">
            <v>54.403465102621098</v>
          </cell>
          <cell r="AA76">
            <v>27.0515167337131</v>
          </cell>
          <cell r="AB76">
            <v>34.3862306965082</v>
          </cell>
          <cell r="AC76">
            <v>35.643443926572203</v>
          </cell>
          <cell r="AD76">
            <v>10.175069362315901</v>
          </cell>
          <cell r="AE76">
            <v>2.84035539952077</v>
          </cell>
          <cell r="AF76">
            <v>6.7369268000062998</v>
          </cell>
          <cell r="AG76">
            <v>16.127570309844199</v>
          </cell>
          <cell r="AH76">
            <v>42.3065328975322</v>
          </cell>
          <cell r="AI76">
            <v>62.002801942557099</v>
          </cell>
          <cell r="AJ76">
            <v>16.557167565995702</v>
          </cell>
          <cell r="AK76">
            <v>26.178962587688002</v>
          </cell>
          <cell r="AL76">
            <v>57.6934671024678</v>
          </cell>
          <cell r="AM76">
            <v>19.696269045025002</v>
          </cell>
          <cell r="AN76">
            <v>46.643419483442898</v>
          </cell>
          <cell r="AO76">
            <v>52.279755845718498</v>
          </cell>
          <cell r="AP76">
            <v>54.405710274303701</v>
          </cell>
          <cell r="AQ76">
            <v>26.9471504384179</v>
          </cell>
          <cell r="AR76">
            <v>34.709441229278703</v>
          </cell>
          <cell r="AS76">
            <v>11.0500476190249</v>
          </cell>
        </row>
        <row r="77">
          <cell r="C77" t="str">
            <v>Guinea-Bissau</v>
          </cell>
          <cell r="D77" t="str">
            <v>CFA Franc BCEAO</v>
          </cell>
          <cell r="E77" t="str">
            <v>XOF</v>
          </cell>
          <cell r="F77">
            <v>1</v>
          </cell>
          <cell r="G77" t="e">
            <v>#N/A</v>
          </cell>
          <cell r="H77" t="e">
            <v>#N/A</v>
          </cell>
          <cell r="I77">
            <v>2.419</v>
          </cell>
          <cell r="J77">
            <v>37.503</v>
          </cell>
          <cell r="K77">
            <v>549</v>
          </cell>
          <cell r="L77">
            <v>39.700000000000003</v>
          </cell>
          <cell r="M77">
            <v>92.5</v>
          </cell>
          <cell r="N77">
            <v>915.5</v>
          </cell>
          <cell r="O77">
            <v>928.82500000000005</v>
          </cell>
          <cell r="P77">
            <v>6.6718732932823599</v>
          </cell>
          <cell r="Q77">
            <v>15.8097214636811</v>
          </cell>
          <cell r="R77">
            <v>41.086182413981398</v>
          </cell>
          <cell r="S77">
            <v>61.050901146914299</v>
          </cell>
          <cell r="T77">
            <v>15.9269251774986</v>
          </cell>
          <cell r="U77">
            <v>25.2764609503004</v>
          </cell>
          <cell r="V77">
            <v>58.913817586018602</v>
          </cell>
          <cell r="W77">
            <v>19.964718732932798</v>
          </cell>
          <cell r="X77">
            <v>48.621736755871098</v>
          </cell>
          <cell r="Y77">
            <v>53.9540141998908</v>
          </cell>
          <cell r="Z77">
            <v>55.977498634625903</v>
          </cell>
          <cell r="AA77">
            <v>28.657018022938299</v>
          </cell>
          <cell r="AB77">
            <v>36.012779901693101</v>
          </cell>
          <cell r="AC77">
            <v>37.357509557618798</v>
          </cell>
          <cell r="AD77">
            <v>10.2920808301475</v>
          </cell>
          <cell r="AE77">
            <v>2.9363189513926802</v>
          </cell>
          <cell r="AF77">
            <v>6.5162974726132497</v>
          </cell>
          <cell r="AG77">
            <v>15.5095954566253</v>
          </cell>
          <cell r="AH77">
            <v>40.503862406804302</v>
          </cell>
          <cell r="AI77">
            <v>60.191962963959803</v>
          </cell>
          <cell r="AJ77">
            <v>15.7603423680457</v>
          </cell>
          <cell r="AK77">
            <v>24.994266950179</v>
          </cell>
          <cell r="AL77">
            <v>59.496137593195698</v>
          </cell>
          <cell r="AM77">
            <v>19.6881005571556</v>
          </cell>
          <cell r="AN77">
            <v>48.236858396361001</v>
          </cell>
          <cell r="AO77">
            <v>53.8608456921379</v>
          </cell>
          <cell r="AP77">
            <v>56.0989422119344</v>
          </cell>
          <cell r="AQ77">
            <v>28.5487578392055</v>
          </cell>
          <cell r="AR77">
            <v>36.410841654778899</v>
          </cell>
          <cell r="AS77">
            <v>11.259279196834701</v>
          </cell>
        </row>
        <row r="78">
          <cell r="C78" t="str">
            <v>Guyana</v>
          </cell>
          <cell r="D78" t="str">
            <v>Guyana Dollar</v>
          </cell>
          <cell r="E78" t="str">
            <v>GYD</v>
          </cell>
          <cell r="F78">
            <v>1</v>
          </cell>
          <cell r="G78" t="e">
            <v>#N/A</v>
          </cell>
          <cell r="H78" t="e">
            <v>#N/A</v>
          </cell>
          <cell r="I78">
            <v>0.36099999999999999</v>
          </cell>
          <cell r="J78">
            <v>18.885000000000002</v>
          </cell>
          <cell r="K78">
            <v>229</v>
          </cell>
          <cell r="L78">
            <v>22.8</v>
          </cell>
          <cell r="M78">
            <v>39.4</v>
          </cell>
          <cell r="N78">
            <v>385.49900000000002</v>
          </cell>
          <cell r="O78">
            <v>381.58600000000001</v>
          </cell>
          <cell r="P78">
            <v>4.1112947115297303</v>
          </cell>
          <cell r="Q78">
            <v>8.9268714056326992</v>
          </cell>
          <cell r="R78">
            <v>28.993590126044399</v>
          </cell>
          <cell r="S78">
            <v>50.803244625796701</v>
          </cell>
          <cell r="T78">
            <v>10.520649859013901</v>
          </cell>
          <cell r="U78">
            <v>20.0667187204117</v>
          </cell>
          <cell r="V78">
            <v>71.006409873955604</v>
          </cell>
          <cell r="W78">
            <v>21.809654499752298</v>
          </cell>
          <cell r="X78">
            <v>52.145141751340503</v>
          </cell>
          <cell r="Y78">
            <v>63.367998360566403</v>
          </cell>
          <cell r="Z78">
            <v>66.437007618696796</v>
          </cell>
          <cell r="AA78">
            <v>30.335487251588201</v>
          </cell>
          <cell r="AB78">
            <v>44.627353118944498</v>
          </cell>
          <cell r="AC78">
            <v>46.7638048347726</v>
          </cell>
          <cell r="AD78">
            <v>18.861268122615101</v>
          </cell>
          <cell r="AE78">
            <v>4.5694022552587699</v>
          </cell>
          <cell r="AF78">
            <v>3.9849470368409801</v>
          </cell>
          <cell r="AG78">
            <v>8.5757863233976099</v>
          </cell>
          <cell r="AH78">
            <v>28.6184503624347</v>
          </cell>
          <cell r="AI78">
            <v>50.460970790333</v>
          </cell>
          <cell r="AJ78">
            <v>10.3520569412924</v>
          </cell>
          <cell r="AK78">
            <v>20.042664039037099</v>
          </cell>
          <cell r="AL78">
            <v>71.3815496375653</v>
          </cell>
          <cell r="AM78">
            <v>21.8425204278983</v>
          </cell>
          <cell r="AN78">
            <v>50.770468518237102</v>
          </cell>
          <cell r="AO78">
            <v>62.402446630641599</v>
          </cell>
          <cell r="AP78">
            <v>65.933498608439507</v>
          </cell>
          <cell r="AQ78">
            <v>28.927948090338798</v>
          </cell>
          <cell r="AR78">
            <v>44.0909781805412</v>
          </cell>
          <cell r="AS78">
            <v>20.611081119328301</v>
          </cell>
        </row>
        <row r="79">
          <cell r="C79" t="str">
            <v>Haiti</v>
          </cell>
          <cell r="D79" t="str">
            <v>Haiti Gourde</v>
          </cell>
          <cell r="E79" t="str">
            <v>HTG</v>
          </cell>
          <cell r="F79">
            <v>1</v>
          </cell>
          <cell r="G79" t="e">
            <v>#N/A</v>
          </cell>
          <cell r="H79" t="e">
            <v>#N/A</v>
          </cell>
          <cell r="I79">
            <v>1.375</v>
          </cell>
          <cell r="J79">
            <v>25.344999999999999</v>
          </cell>
          <cell r="K79">
            <v>359</v>
          </cell>
          <cell r="L79">
            <v>25.4</v>
          </cell>
          <cell r="M79">
            <v>69</v>
          </cell>
          <cell r="N79">
            <v>5297.4219999999996</v>
          </cell>
          <cell r="O79">
            <v>5413.6450000000004</v>
          </cell>
          <cell r="P79">
            <v>4.7698861823732397</v>
          </cell>
          <cell r="Q79">
            <v>11.908377320137999</v>
          </cell>
          <cell r="R79">
            <v>34.698160727991798</v>
          </cell>
          <cell r="S79">
            <v>55.191808392837103</v>
          </cell>
          <cell r="T79">
            <v>13.913258184830299</v>
          </cell>
          <cell r="U79">
            <v>22.7897834078539</v>
          </cell>
          <cell r="V79">
            <v>65.301839272008195</v>
          </cell>
          <cell r="W79">
            <v>20.493647664845302</v>
          </cell>
          <cell r="X79">
            <v>52.3204872105715</v>
          </cell>
          <cell r="Y79">
            <v>58.847378970374599</v>
          </cell>
          <cell r="Z79">
            <v>61.160787265956898</v>
          </cell>
          <cell r="AA79">
            <v>31.826839545726202</v>
          </cell>
          <cell r="AB79">
            <v>40.6671396011116</v>
          </cell>
          <cell r="AC79">
            <v>42.2089084086561</v>
          </cell>
          <cell r="AD79">
            <v>12.9813520614367</v>
          </cell>
          <cell r="AE79">
            <v>4.1410520060512397</v>
          </cell>
          <cell r="AF79">
            <v>4.4827098932419798</v>
          </cell>
          <cell r="AG79">
            <v>11.2069779233769</v>
          </cell>
          <cell r="AH79">
            <v>32.805124828096403</v>
          </cell>
          <cell r="AI79">
            <v>52.710567464250097</v>
          </cell>
          <cell r="AJ79">
            <v>13.156440808364801</v>
          </cell>
          <cell r="AK79">
            <v>21.598146904719499</v>
          </cell>
          <cell r="AL79">
            <v>67.194875171903604</v>
          </cell>
          <cell r="AM79">
            <v>19.905442636153602</v>
          </cell>
          <cell r="AN79">
            <v>52.696972187869697</v>
          </cell>
          <cell r="AO79">
            <v>59.559723624286399</v>
          </cell>
          <cell r="AP79">
            <v>62.084732190603603</v>
          </cell>
          <cell r="AQ79">
            <v>32.791529551716103</v>
          </cell>
          <cell r="AR79">
            <v>42.179289554449902</v>
          </cell>
          <cell r="AS79">
            <v>14.4979029840339</v>
          </cell>
        </row>
        <row r="80">
          <cell r="C80" t="str">
            <v>Honduras</v>
          </cell>
          <cell r="D80" t="str">
            <v>Lempira</v>
          </cell>
          <cell r="E80" t="str">
            <v>HNL</v>
          </cell>
          <cell r="F80">
            <v>1</v>
          </cell>
          <cell r="G80" t="e">
            <v>#N/A</v>
          </cell>
          <cell r="H80" t="e">
            <v>#N/A</v>
          </cell>
          <cell r="I80">
            <v>1.4670000000000001</v>
          </cell>
          <cell r="J80">
            <v>21.593</v>
          </cell>
          <cell r="K80">
            <v>129</v>
          </cell>
          <cell r="L80">
            <v>11</v>
          </cell>
          <cell r="M80">
            <v>20.399999999999999</v>
          </cell>
          <cell r="N80">
            <v>4035.962</v>
          </cell>
          <cell r="O80">
            <v>4039.098</v>
          </cell>
          <cell r="P80">
            <v>4.0682989582161602</v>
          </cell>
          <cell r="Q80">
            <v>10.31035475557</v>
          </cell>
          <cell r="R80">
            <v>32.360413700624498</v>
          </cell>
          <cell r="S80">
            <v>54.180143420577302</v>
          </cell>
          <cell r="T80">
            <v>13.036520165452499</v>
          </cell>
          <cell r="U80">
            <v>22.050058945054499</v>
          </cell>
          <cell r="V80">
            <v>67.639586299375495</v>
          </cell>
          <cell r="W80">
            <v>21.8197297199528</v>
          </cell>
          <cell r="X80">
            <v>54.266715097912197</v>
          </cell>
          <cell r="Y80">
            <v>60.7618456268914</v>
          </cell>
          <cell r="Z80">
            <v>63.086124200376503</v>
          </cell>
          <cell r="AA80">
            <v>32.4469853779595</v>
          </cell>
          <cell r="AB80">
            <v>41.266394480423699</v>
          </cell>
          <cell r="AC80">
            <v>42.897975749028397</v>
          </cell>
          <cell r="AD80">
            <v>13.3728712014632</v>
          </cell>
          <cell r="AE80">
            <v>4.55346209899895</v>
          </cell>
          <cell r="AF80">
            <v>3.9012423070695501</v>
          </cell>
          <cell r="AG80">
            <v>9.8984228656992208</v>
          </cell>
          <cell r="AH80">
            <v>31.165646389367101</v>
          </cell>
          <cell r="AI80">
            <v>52.551213166900098</v>
          </cell>
          <cell r="AJ80">
            <v>12.555006092944501</v>
          </cell>
          <cell r="AK80">
            <v>21.267223523667901</v>
          </cell>
          <cell r="AL80">
            <v>68.834353610632903</v>
          </cell>
          <cell r="AM80">
            <v>21.385566777533001</v>
          </cell>
          <cell r="AN80">
            <v>54.768539906682101</v>
          </cell>
          <cell r="AO80">
            <v>61.314258777578502</v>
          </cell>
          <cell r="AP80">
            <v>63.681519982926901</v>
          </cell>
          <cell r="AQ80">
            <v>33.3829731291491</v>
          </cell>
          <cell r="AR80">
            <v>42.2959532053939</v>
          </cell>
          <cell r="AS80">
            <v>14.065813703950701</v>
          </cell>
        </row>
        <row r="81">
          <cell r="C81" t="str">
            <v>Hungary</v>
          </cell>
          <cell r="D81" t="str">
            <v>Forint</v>
          </cell>
          <cell r="E81" t="str">
            <v>HUF</v>
          </cell>
          <cell r="F81">
            <v>390.81896694214879</v>
          </cell>
          <cell r="G81" t="e">
            <v>#N/A</v>
          </cell>
          <cell r="H81" t="e">
            <v>#N/A</v>
          </cell>
          <cell r="I81">
            <v>-0.32100000000000001</v>
          </cell>
          <cell r="J81">
            <v>9.1999999999999993</v>
          </cell>
          <cell r="K81">
            <v>17</v>
          </cell>
          <cell r="L81">
            <v>3.5</v>
          </cell>
          <cell r="M81">
            <v>5.9</v>
          </cell>
          <cell r="N81">
            <v>4690.8649999999998</v>
          </cell>
          <cell r="O81">
            <v>5164.1580000000004</v>
          </cell>
          <cell r="P81">
            <v>1.9443535467339199</v>
          </cell>
          <cell r="Q81">
            <v>5.0808326396091097</v>
          </cell>
          <cell r="R81">
            <v>15.706335611875399</v>
          </cell>
          <cell r="S81">
            <v>27.747654217292499</v>
          </cell>
          <cell r="T81">
            <v>6.4269596332446097</v>
          </cell>
          <cell r="U81">
            <v>10.6255029722663</v>
          </cell>
          <cell r="V81">
            <v>84.293664388124597</v>
          </cell>
          <cell r="W81">
            <v>12.0413186054171</v>
          </cell>
          <cell r="X81">
            <v>51.196442447181902</v>
          </cell>
          <cell r="Y81">
            <v>63.697079323323102</v>
          </cell>
          <cell r="Z81">
            <v>70.367405585110603</v>
          </cell>
          <cell r="AA81">
            <v>39.155123841764798</v>
          </cell>
          <cell r="AB81">
            <v>58.3260869796935</v>
          </cell>
          <cell r="AC81">
            <v>63.194592042192603</v>
          </cell>
          <cell r="AD81">
            <v>33.097221940942703</v>
          </cell>
          <cell r="AE81">
            <v>13.9262588030139</v>
          </cell>
          <cell r="AF81">
            <v>1.66085158509867</v>
          </cell>
          <cell r="AG81">
            <v>4.3568961290494999</v>
          </cell>
          <cell r="AH81">
            <v>13.5162595722284</v>
          </cell>
          <cell r="AI81">
            <v>23.9616990804696</v>
          </cell>
          <cell r="AJ81">
            <v>5.5412712004551397</v>
          </cell>
          <cell r="AK81">
            <v>9.1593634431789308</v>
          </cell>
          <cell r="AL81">
            <v>86.483740427771593</v>
          </cell>
          <cell r="AM81">
            <v>10.445439508241201</v>
          </cell>
          <cell r="AN81">
            <v>45.030419286164403</v>
          </cell>
          <cell r="AO81">
            <v>57.648487904514099</v>
          </cell>
          <cell r="AP81">
            <v>65.130869349853299</v>
          </cell>
          <cell r="AQ81">
            <v>34.584979777923103</v>
          </cell>
          <cell r="AR81">
            <v>54.685429841612098</v>
          </cell>
          <cell r="AS81">
            <v>41.453321141607198</v>
          </cell>
        </row>
        <row r="82">
          <cell r="C82" t="str">
            <v>Iceland</v>
          </cell>
          <cell r="D82" t="str">
            <v>Iceland Krona</v>
          </cell>
          <cell r="E82" t="str">
            <v>ISK</v>
          </cell>
          <cell r="F82">
            <v>184.48025416666678</v>
          </cell>
          <cell r="G82" t="e">
            <v>#N/A</v>
          </cell>
          <cell r="H82" t="e">
            <v>#N/A</v>
          </cell>
          <cell r="I82">
            <v>0.70299999999999996</v>
          </cell>
          <cell r="J82">
            <v>13.4</v>
          </cell>
          <cell r="K82">
            <v>3</v>
          </cell>
          <cell r="L82">
            <v>0.9</v>
          </cell>
          <cell r="M82">
            <v>2</v>
          </cell>
          <cell r="N82">
            <v>165.02</v>
          </cell>
          <cell r="O82">
            <v>164.405</v>
          </cell>
          <cell r="P82">
            <v>2.6572536662222799</v>
          </cell>
          <cell r="Q82">
            <v>7.07671797357896</v>
          </cell>
          <cell r="R82">
            <v>20.637498485032101</v>
          </cell>
          <cell r="S82">
            <v>35.384195855047899</v>
          </cell>
          <cell r="T82">
            <v>8.5286631923403196</v>
          </cell>
          <cell r="U82">
            <v>13.560780511453199</v>
          </cell>
          <cell r="V82">
            <v>79.362501514967903</v>
          </cell>
          <cell r="W82">
            <v>14.7466973700158</v>
          </cell>
          <cell r="X82">
            <v>48.123863774088001</v>
          </cell>
          <cell r="Y82">
            <v>60.962913586231998</v>
          </cell>
          <cell r="Z82">
            <v>66.467700884741205</v>
          </cell>
          <cell r="AA82">
            <v>33.377166404072199</v>
          </cell>
          <cell r="AB82">
            <v>51.721003514725503</v>
          </cell>
          <cell r="AC82">
            <v>56.384680644770299</v>
          </cell>
          <cell r="AD82">
            <v>31.238637740879899</v>
          </cell>
          <cell r="AE82">
            <v>12.8948006302266</v>
          </cell>
          <cell r="AF82">
            <v>2.71524588668228</v>
          </cell>
          <cell r="AG82">
            <v>6.8933426598947696</v>
          </cell>
          <cell r="AH82">
            <v>20.000608254006899</v>
          </cell>
          <cell r="AI82">
            <v>34.0318116845595</v>
          </cell>
          <cell r="AJ82">
            <v>8.0630151151120693</v>
          </cell>
          <cell r="AK82">
            <v>13.1072655941121</v>
          </cell>
          <cell r="AL82">
            <v>79.999391745993094</v>
          </cell>
          <cell r="AM82">
            <v>14.031203430552599</v>
          </cell>
          <cell r="AN82">
            <v>47.063045527812399</v>
          </cell>
          <cell r="AO82">
            <v>60.080289528907301</v>
          </cell>
          <cell r="AP82">
            <v>65.463337489735693</v>
          </cell>
          <cell r="AQ82">
            <v>33.031842097259798</v>
          </cell>
          <cell r="AR82">
            <v>51.432134059183099</v>
          </cell>
          <cell r="AS82">
            <v>32.936346218180702</v>
          </cell>
        </row>
        <row r="83">
          <cell r="C83" t="str">
            <v>India</v>
          </cell>
          <cell r="D83" t="str">
            <v>Indian Rupee</v>
          </cell>
          <cell r="E83" t="str">
            <v>INR</v>
          </cell>
          <cell r="F83">
            <v>89.75085194805196</v>
          </cell>
          <cell r="G83" t="e">
            <v>#N/A</v>
          </cell>
          <cell r="H83" t="e">
            <v>#N/A</v>
          </cell>
          <cell r="I83">
            <v>1.26</v>
          </cell>
          <cell r="J83">
            <v>20.291</v>
          </cell>
          <cell r="K83">
            <v>174</v>
          </cell>
          <cell r="L83">
            <v>27.7</v>
          </cell>
          <cell r="M83">
            <v>47.7</v>
          </cell>
          <cell r="N83">
            <v>679548.40800000005</v>
          </cell>
          <cell r="O83">
            <v>631502.11899999995</v>
          </cell>
          <cell r="P83">
            <v>3.7825748243089099</v>
          </cell>
          <cell r="Q83">
            <v>9.5821144209052491</v>
          </cell>
          <cell r="R83">
            <v>29.276132010304099</v>
          </cell>
          <cell r="S83">
            <v>47.965323465226902</v>
          </cell>
          <cell r="T83">
            <v>11.829849360783101</v>
          </cell>
          <cell r="U83">
            <v>19.6940175893989</v>
          </cell>
          <cell r="V83">
            <v>70.723867989695904</v>
          </cell>
          <cell r="W83">
            <v>18.689191454922799</v>
          </cell>
          <cell r="X83">
            <v>53.750377706719597</v>
          </cell>
          <cell r="Y83">
            <v>62.392464761686298</v>
          </cell>
          <cell r="Z83">
            <v>65.579786775101994</v>
          </cell>
          <cell r="AA83">
            <v>35.061186251796798</v>
          </cell>
          <cell r="AB83">
            <v>46.890595320179202</v>
          </cell>
          <cell r="AC83">
            <v>48.980273234633202</v>
          </cell>
          <cell r="AD83">
            <v>16.9734902829763</v>
          </cell>
          <cell r="AE83">
            <v>5.1440812145939203</v>
          </cell>
          <cell r="AF83">
            <v>3.6668130324991002</v>
          </cell>
          <cell r="AG83">
            <v>9.2788890546858198</v>
          </cell>
          <cell r="AH83">
            <v>28.262993999549799</v>
          </cell>
          <cell r="AI83">
            <v>46.400384287546601</v>
          </cell>
          <cell r="AJ83">
            <v>11.409431390997399</v>
          </cell>
          <cell r="AK83">
            <v>18.984104944864001</v>
          </cell>
          <cell r="AL83">
            <v>71.737006000450194</v>
          </cell>
          <cell r="AM83">
            <v>18.137390287996801</v>
          </cell>
          <cell r="AN83">
            <v>53.3233252697922</v>
          </cell>
          <cell r="AO83">
            <v>62.245842281963903</v>
          </cell>
          <cell r="AP83">
            <v>65.612953707285996</v>
          </cell>
          <cell r="AQ83">
            <v>35.185934981795398</v>
          </cell>
          <cell r="AR83">
            <v>47.475563419289202</v>
          </cell>
          <cell r="AS83">
            <v>18.413680730658001</v>
          </cell>
        </row>
        <row r="84">
          <cell r="C84" t="str">
            <v>Indonesia</v>
          </cell>
          <cell r="D84" t="str">
            <v>Rupiah</v>
          </cell>
          <cell r="E84" t="str">
            <v>IDR</v>
          </cell>
          <cell r="F84">
            <v>18744.306837606844</v>
          </cell>
          <cell r="G84" t="e">
            <v>#N/A</v>
          </cell>
          <cell r="H84" t="e">
            <v>#N/A</v>
          </cell>
          <cell r="I84">
            <v>1.2789999999999999</v>
          </cell>
          <cell r="J84">
            <v>20.297000000000001</v>
          </cell>
          <cell r="K84">
            <v>126</v>
          </cell>
          <cell r="L84">
            <v>13.5</v>
          </cell>
          <cell r="M84">
            <v>27.2</v>
          </cell>
          <cell r="N84">
            <v>129687.879</v>
          </cell>
          <cell r="O84">
            <v>127875.936</v>
          </cell>
          <cell r="P84">
            <v>4.1242335376615999</v>
          </cell>
          <cell r="Q84">
            <v>9.7895555836794905</v>
          </cell>
          <cell r="R84">
            <v>28.2206542987722</v>
          </cell>
          <cell r="S84">
            <v>45.504409089765403</v>
          </cell>
          <cell r="T84">
            <v>10.932232919006999</v>
          </cell>
          <cell r="U84">
            <v>18.431098715092698</v>
          </cell>
          <cell r="V84">
            <v>71.779345701227797</v>
          </cell>
          <cell r="W84">
            <v>17.2837547909932</v>
          </cell>
          <cell r="X84">
            <v>54.443338532816902</v>
          </cell>
          <cell r="Y84">
            <v>64.075985081073</v>
          </cell>
          <cell r="Z84">
            <v>67.190620027026597</v>
          </cell>
          <cell r="AA84">
            <v>37.159583741823702</v>
          </cell>
          <cell r="AB84">
            <v>49.906865236033397</v>
          </cell>
          <cell r="AC84">
            <v>51.8474937815893</v>
          </cell>
          <cell r="AD84">
            <v>17.336007168410902</v>
          </cell>
          <cell r="AE84">
            <v>4.5887256742012097</v>
          </cell>
          <cell r="AF84">
            <v>4.02723933922955</v>
          </cell>
          <cell r="AG84">
            <v>9.5152343596530908</v>
          </cell>
          <cell r="AH84">
            <v>27.156634849578001</v>
          </cell>
          <cell r="AI84">
            <v>43.993468794629202</v>
          </cell>
          <cell r="AJ84">
            <v>10.4749293878091</v>
          </cell>
          <cell r="AK84">
            <v>17.641400489924902</v>
          </cell>
          <cell r="AL84">
            <v>72.843365150422002</v>
          </cell>
          <cell r="AM84">
            <v>16.8368339450512</v>
          </cell>
          <cell r="AN84">
            <v>54.3569393697341</v>
          </cell>
          <cell r="AO84">
            <v>64.081660368061705</v>
          </cell>
          <cell r="AP84">
            <v>67.076343433372799</v>
          </cell>
          <cell r="AQ84">
            <v>37.520105424682903</v>
          </cell>
          <cell r="AR84">
            <v>50.239509488321502</v>
          </cell>
          <cell r="AS84">
            <v>18.486425780687899</v>
          </cell>
        </row>
        <row r="85">
          <cell r="C85" t="str">
            <v>Iran (Islamic Republic of)</v>
          </cell>
          <cell r="D85" t="str">
            <v>Iranian Rial</v>
          </cell>
          <cell r="E85" t="str">
            <v>IRR</v>
          </cell>
          <cell r="F85">
            <v>40603.386979166651</v>
          </cell>
          <cell r="G85" t="e">
            <v>#N/A</v>
          </cell>
          <cell r="H85" t="e">
            <v>#N/A</v>
          </cell>
          <cell r="I85">
            <v>1.2669999999999999</v>
          </cell>
          <cell r="J85">
            <v>17.899999999999999</v>
          </cell>
          <cell r="K85">
            <v>25</v>
          </cell>
          <cell r="L85">
            <v>9.5</v>
          </cell>
          <cell r="M85">
            <v>15.5</v>
          </cell>
          <cell r="N85">
            <v>39835.201999999997</v>
          </cell>
          <cell r="O85">
            <v>39274.07</v>
          </cell>
          <cell r="P85">
            <v>3.4813530002935602</v>
          </cell>
          <cell r="Q85">
            <v>8.7676372269933491</v>
          </cell>
          <cell r="R85">
            <v>23.9391154587342</v>
          </cell>
          <cell r="S85">
            <v>40.195001396001501</v>
          </cell>
          <cell r="T85">
            <v>9.6101407995872599</v>
          </cell>
          <cell r="U85">
            <v>15.171478231740901</v>
          </cell>
          <cell r="V85">
            <v>76.060884541265807</v>
          </cell>
          <cell r="W85">
            <v>16.255885937267202</v>
          </cell>
          <cell r="X85">
            <v>59.037925802409603</v>
          </cell>
          <cell r="Y85">
            <v>67.766153162722802</v>
          </cell>
          <cell r="Z85">
            <v>70.843079947228603</v>
          </cell>
          <cell r="AA85">
            <v>42.782039865142401</v>
          </cell>
          <cell r="AB85">
            <v>54.587194009961401</v>
          </cell>
          <cell r="AC85">
            <v>56.419492990144803</v>
          </cell>
          <cell r="AD85">
            <v>17.0229587388562</v>
          </cell>
          <cell r="AE85">
            <v>5.2178045940372</v>
          </cell>
          <cell r="AF85">
            <v>3.3465235459426501</v>
          </cell>
          <cell r="AG85">
            <v>8.5621709183693007</v>
          </cell>
          <cell r="AH85">
            <v>23.275117653963498</v>
          </cell>
          <cell r="AI85">
            <v>38.781519205929001</v>
          </cell>
          <cell r="AJ85">
            <v>9.4661490393025201</v>
          </cell>
          <cell r="AK85">
            <v>14.712946735594199</v>
          </cell>
          <cell r="AL85">
            <v>76.724882346036495</v>
          </cell>
          <cell r="AM85">
            <v>15.506401551965499</v>
          </cell>
          <cell r="AN85">
            <v>59.771946223042299</v>
          </cell>
          <cell r="AO85">
            <v>68.583788234832795</v>
          </cell>
          <cell r="AP85">
            <v>71.822696247167698</v>
          </cell>
          <cell r="AQ85">
            <v>44.265544671076903</v>
          </cell>
          <cell r="AR85">
            <v>56.316294695202203</v>
          </cell>
          <cell r="AS85">
            <v>16.9529361229941</v>
          </cell>
        </row>
        <row r="86">
          <cell r="C86" t="str">
            <v>Iraq</v>
          </cell>
          <cell r="D86" t="str">
            <v>Iraqi Dinar</v>
          </cell>
          <cell r="E86" t="str">
            <v>IQD</v>
          </cell>
          <cell r="F86">
            <v>1</v>
          </cell>
          <cell r="G86" t="e">
            <v>#N/A</v>
          </cell>
          <cell r="H86" t="e">
            <v>#N/A</v>
          </cell>
          <cell r="I86">
            <v>3.31</v>
          </cell>
          <cell r="J86">
            <v>31.093</v>
          </cell>
          <cell r="K86">
            <v>50</v>
          </cell>
          <cell r="L86">
            <v>18.399999999999999</v>
          </cell>
          <cell r="M86">
            <v>32</v>
          </cell>
          <cell r="N86">
            <v>18436.976999999999</v>
          </cell>
          <cell r="O86">
            <v>17986.418000000001</v>
          </cell>
          <cell r="P86">
            <v>6.59793088639206</v>
          </cell>
          <cell r="Q86">
            <v>15.9689356883181</v>
          </cell>
          <cell r="R86">
            <v>41.634330834170903</v>
          </cell>
          <cell r="S86">
            <v>61.434686391375401</v>
          </cell>
          <cell r="T86">
            <v>16.387285182381</v>
          </cell>
          <cell r="U86">
            <v>25.665395145852798</v>
          </cell>
          <cell r="V86">
            <v>58.365669165829097</v>
          </cell>
          <cell r="W86">
            <v>19.800355557204401</v>
          </cell>
          <cell r="X86">
            <v>49.537025511286402</v>
          </cell>
          <cell r="Y86">
            <v>53.861031556312099</v>
          </cell>
          <cell r="Z86">
            <v>55.637635171969897</v>
          </cell>
          <cell r="AA86">
            <v>29.736669954082</v>
          </cell>
          <cell r="AB86">
            <v>35.8372796147655</v>
          </cell>
          <cell r="AC86">
            <v>36.886589379592998</v>
          </cell>
          <cell r="AD86">
            <v>8.82864365454272</v>
          </cell>
          <cell r="AE86">
            <v>2.72803399385919</v>
          </cell>
          <cell r="AF86">
            <v>6.4007408256607903</v>
          </cell>
          <cell r="AG86">
            <v>15.4742094840674</v>
          </cell>
          <cell r="AH86">
            <v>40.3148642492352</v>
          </cell>
          <cell r="AI86">
            <v>59.6197475228253</v>
          </cell>
          <cell r="AJ86">
            <v>15.850193184657501</v>
          </cell>
          <cell r="AK86">
            <v>24.840654765167798</v>
          </cell>
          <cell r="AL86">
            <v>59.6851357507648</v>
          </cell>
          <cell r="AM86">
            <v>19.3048832735901</v>
          </cell>
          <cell r="AN86">
            <v>49.155707378756603</v>
          </cell>
          <cell r="AO86">
            <v>54.202938016897001</v>
          </cell>
          <cell r="AP86">
            <v>56.292475800351198</v>
          </cell>
          <cell r="AQ86">
            <v>29.850824105166499</v>
          </cell>
          <cell r="AR86">
            <v>36.987592526760999</v>
          </cell>
          <cell r="AS86">
            <v>10.529428372008301</v>
          </cell>
        </row>
        <row r="87">
          <cell r="C87" t="str">
            <v>Ireland</v>
          </cell>
          <cell r="D87" t="str">
            <v>Euro</v>
          </cell>
          <cell r="E87" t="str">
            <v>EUR</v>
          </cell>
          <cell r="F87">
            <v>1.2617355060728741</v>
          </cell>
          <cell r="G87" t="e">
            <v>#N/A</v>
          </cell>
          <cell r="H87" t="e">
            <v>#N/A</v>
          </cell>
          <cell r="I87">
            <v>0.30599999999999999</v>
          </cell>
          <cell r="J87">
            <v>15</v>
          </cell>
          <cell r="K87">
            <v>8</v>
          </cell>
          <cell r="L87">
            <v>2.2999999999999998</v>
          </cell>
          <cell r="M87">
            <v>3.6</v>
          </cell>
          <cell r="N87">
            <v>2340.0970000000002</v>
          </cell>
          <cell r="O87">
            <v>2348.3679999999999</v>
          </cell>
          <cell r="P87">
            <v>3.01149909597765</v>
          </cell>
          <cell r="Q87">
            <v>7.8094198659286302</v>
          </cell>
          <cell r="R87">
            <v>22.513169325886899</v>
          </cell>
          <cell r="S87">
            <v>33.970643097273303</v>
          </cell>
          <cell r="T87">
            <v>9.3068364260113992</v>
          </cell>
          <cell r="U87">
            <v>14.703749459958299</v>
          </cell>
          <cell r="V87">
            <v>77.486830674113094</v>
          </cell>
          <cell r="W87">
            <v>11.4574737713864</v>
          </cell>
          <cell r="X87">
            <v>48.1083476454181</v>
          </cell>
          <cell r="Y87">
            <v>60.126182803533403</v>
          </cell>
          <cell r="Z87">
            <v>65.322719528293106</v>
          </cell>
          <cell r="AA87">
            <v>36.650873874031703</v>
          </cell>
          <cell r="AB87">
            <v>53.865245756906702</v>
          </cell>
          <cell r="AC87">
            <v>58.366255757774198</v>
          </cell>
          <cell r="AD87">
            <v>29.378483028695001</v>
          </cell>
          <cell r="AE87">
            <v>12.16411114582</v>
          </cell>
          <cell r="AF87">
            <v>2.8115269838458001</v>
          </cell>
          <cell r="AG87">
            <v>7.2697294461515396</v>
          </cell>
          <cell r="AH87">
            <v>21.0505338175277</v>
          </cell>
          <cell r="AI87">
            <v>31.900579466250601</v>
          </cell>
          <cell r="AJ87">
            <v>8.6850953513248292</v>
          </cell>
          <cell r="AK87">
            <v>13.780804371376201</v>
          </cell>
          <cell r="AL87">
            <v>78.949466182472307</v>
          </cell>
          <cell r="AM87">
            <v>10.850045648722899</v>
          </cell>
          <cell r="AN87">
            <v>47.578318219290999</v>
          </cell>
          <cell r="AO87">
            <v>59.594322525260097</v>
          </cell>
          <cell r="AP87">
            <v>64.838006649724406</v>
          </cell>
          <cell r="AQ87">
            <v>36.728272570568201</v>
          </cell>
          <cell r="AR87">
            <v>53.987961001001601</v>
          </cell>
          <cell r="AS87">
            <v>31.371147963181201</v>
          </cell>
        </row>
        <row r="88">
          <cell r="C88" t="str">
            <v>Israel</v>
          </cell>
          <cell r="D88" t="str">
            <v>New Israeli Shekel</v>
          </cell>
          <cell r="E88" t="str">
            <v>ILS</v>
          </cell>
          <cell r="F88">
            <v>5.4341367796610172</v>
          </cell>
          <cell r="G88" t="e">
            <v>#N/A</v>
          </cell>
          <cell r="H88" t="e">
            <v>#N/A</v>
          </cell>
          <cell r="I88">
            <v>1.6639999999999999</v>
          </cell>
          <cell r="J88">
            <v>21.3</v>
          </cell>
          <cell r="K88">
            <v>5</v>
          </cell>
          <cell r="L88">
            <v>2.1</v>
          </cell>
          <cell r="M88">
            <v>4</v>
          </cell>
          <cell r="N88">
            <v>3998.623</v>
          </cell>
          <cell r="O88">
            <v>4065.413</v>
          </cell>
          <cell r="P88">
            <v>4.42752417519731</v>
          </cell>
          <cell r="Q88">
            <v>10.673774446853299</v>
          </cell>
          <cell r="R88">
            <v>28.8219969724578</v>
          </cell>
          <cell r="S88">
            <v>44.158176452243701</v>
          </cell>
          <cell r="T88">
            <v>11.3013404864625</v>
          </cell>
          <cell r="U88">
            <v>18.1482225256044</v>
          </cell>
          <cell r="V88">
            <v>71.178003027542204</v>
          </cell>
          <cell r="W88">
            <v>15.336179479785899</v>
          </cell>
          <cell r="X88">
            <v>47.737308568474702</v>
          </cell>
          <cell r="Y88">
            <v>56.802979425667303</v>
          </cell>
          <cell r="Z88">
            <v>61.190489826122601</v>
          </cell>
          <cell r="AA88">
            <v>32.401129088688798</v>
          </cell>
          <cell r="AB88">
            <v>45.854310346336703</v>
          </cell>
          <cell r="AC88">
            <v>49.5226981888515</v>
          </cell>
          <cell r="AD88">
            <v>23.440694459067501</v>
          </cell>
          <cell r="AE88">
            <v>9.9875132014195902</v>
          </cell>
          <cell r="AF88">
            <v>4.1379313737620302</v>
          </cell>
          <cell r="AG88">
            <v>9.96324358681394</v>
          </cell>
          <cell r="AH88">
            <v>26.861157771670399</v>
          </cell>
          <cell r="AI88">
            <v>41.174955656411797</v>
          </cell>
          <cell r="AJ88">
            <v>10.5230145129166</v>
          </cell>
          <cell r="AK88">
            <v>16.8979141848565</v>
          </cell>
          <cell r="AL88">
            <v>73.138842228329594</v>
          </cell>
          <cell r="AM88">
            <v>14.313797884741399</v>
          </cell>
          <cell r="AN88">
            <v>46.316179930550703</v>
          </cell>
          <cell r="AO88">
            <v>55.853734909589797</v>
          </cell>
          <cell r="AP88">
            <v>60.668891450880899</v>
          </cell>
          <cell r="AQ88">
            <v>32.002382045809398</v>
          </cell>
          <cell r="AR88">
            <v>46.355093566139502</v>
          </cell>
          <cell r="AS88">
            <v>26.822662297778901</v>
          </cell>
        </row>
        <row r="89">
          <cell r="C89" t="str">
            <v>Italy</v>
          </cell>
          <cell r="D89" t="str">
            <v>Euro</v>
          </cell>
          <cell r="E89" t="str">
            <v>EUR</v>
          </cell>
          <cell r="F89">
            <v>1.2617355060728741</v>
          </cell>
          <cell r="G89" t="e">
            <v>#N/A</v>
          </cell>
          <cell r="H89" t="e">
            <v>#N/A</v>
          </cell>
          <cell r="I89">
            <v>7.0000000000000007E-2</v>
          </cell>
          <cell r="J89">
            <v>8.5</v>
          </cell>
          <cell r="K89">
            <v>4</v>
          </cell>
          <cell r="L89">
            <v>2.1</v>
          </cell>
          <cell r="M89">
            <v>3.5</v>
          </cell>
          <cell r="N89">
            <v>29069.71</v>
          </cell>
          <cell r="O89">
            <v>30727.974999999999</v>
          </cell>
          <cell r="P89">
            <v>1.7229446045385399</v>
          </cell>
          <cell r="Q89">
            <v>4.5554118014937197</v>
          </cell>
          <cell r="R89">
            <v>14.5079397076889</v>
          </cell>
          <cell r="S89">
            <v>24.622495374050899</v>
          </cell>
          <cell r="T89">
            <v>5.98717703066181</v>
          </cell>
          <cell r="U89">
            <v>9.9525279061951508</v>
          </cell>
          <cell r="V89">
            <v>85.492060292311095</v>
          </cell>
          <cell r="W89">
            <v>10.114555666362</v>
          </cell>
          <cell r="X89">
            <v>44.679197006093297</v>
          </cell>
          <cell r="Y89">
            <v>59.517332646249301</v>
          </cell>
          <cell r="Z89">
            <v>65.657964940138697</v>
          </cell>
          <cell r="AA89">
            <v>34.564641339731303</v>
          </cell>
          <cell r="AB89">
            <v>55.543409273776703</v>
          </cell>
          <cell r="AC89">
            <v>61.490389825010297</v>
          </cell>
          <cell r="AD89">
            <v>40.812863286217897</v>
          </cell>
          <cell r="AE89">
            <v>19.834095352172401</v>
          </cell>
          <cell r="AF89">
            <v>1.5335797428890099</v>
          </cell>
          <cell r="AG89">
            <v>4.0551744786306303</v>
          </cell>
          <cell r="AH89">
            <v>12.9558651359226</v>
          </cell>
          <cell r="AI89">
            <v>22.040349225746201</v>
          </cell>
          <cell r="AJ89">
            <v>5.3461804756089499</v>
          </cell>
          <cell r="AK89">
            <v>8.9006906572919302</v>
          </cell>
          <cell r="AL89">
            <v>87.044134864077407</v>
          </cell>
          <cell r="AM89">
            <v>9.0844840898236896</v>
          </cell>
          <cell r="AN89">
            <v>41.380094197551301</v>
          </cell>
          <cell r="AO89">
            <v>55.941668788782899</v>
          </cell>
          <cell r="AP89">
            <v>62.197482912557703</v>
          </cell>
          <cell r="AQ89">
            <v>32.295610107727597</v>
          </cell>
          <cell r="AR89">
            <v>53.112998822733999</v>
          </cell>
          <cell r="AS89">
            <v>45.664040666526198</v>
          </cell>
        </row>
        <row r="90">
          <cell r="C90" t="str">
            <v>Jamaica</v>
          </cell>
          <cell r="D90" t="str">
            <v>Jamaican Dollar</v>
          </cell>
          <cell r="E90" t="str">
            <v>JMD</v>
          </cell>
          <cell r="F90">
            <v>1</v>
          </cell>
          <cell r="G90" t="e">
            <v>#N/A</v>
          </cell>
          <cell r="H90" t="e">
            <v>#N/A</v>
          </cell>
          <cell r="I90">
            <v>0.376</v>
          </cell>
          <cell r="J90">
            <v>13.54</v>
          </cell>
          <cell r="K90">
            <v>89</v>
          </cell>
          <cell r="L90">
            <v>11.6</v>
          </cell>
          <cell r="M90">
            <v>15.7</v>
          </cell>
          <cell r="N90">
            <v>1391.039</v>
          </cell>
          <cell r="O90">
            <v>1402.296</v>
          </cell>
          <cell r="P90">
            <v>2.9647623107619498</v>
          </cell>
          <cell r="Q90">
            <v>7.51646790636351</v>
          </cell>
          <cell r="R90">
            <v>24.187819320666101</v>
          </cell>
          <cell r="S90">
            <v>43.8485908734406</v>
          </cell>
          <cell r="T90">
            <v>9.6191408005095393</v>
          </cell>
          <cell r="U90">
            <v>16.671351414302499</v>
          </cell>
          <cell r="V90">
            <v>75.812180679333906</v>
          </cell>
          <cell r="W90">
            <v>19.660771552774602</v>
          </cell>
          <cell r="X90">
            <v>53.660968527841398</v>
          </cell>
          <cell r="Y90">
            <v>63.439702265716498</v>
          </cell>
          <cell r="Z90">
            <v>67.176477438806501</v>
          </cell>
          <cell r="AA90">
            <v>34.0001969750668</v>
          </cell>
          <cell r="AB90">
            <v>47.515705886031903</v>
          </cell>
          <cell r="AC90">
            <v>50.348336746848901</v>
          </cell>
          <cell r="AD90">
            <v>22.151212151492501</v>
          </cell>
          <cell r="AE90">
            <v>8.6357032405274001</v>
          </cell>
          <cell r="AF90">
            <v>2.7375817944285599</v>
          </cell>
          <cell r="AG90">
            <v>7.0723299503100598</v>
          </cell>
          <cell r="AH90">
            <v>22.9737516187738</v>
          </cell>
          <cell r="AI90">
            <v>41.852076879631703</v>
          </cell>
          <cell r="AJ90">
            <v>9.2308613873247793</v>
          </cell>
          <cell r="AK90">
            <v>15.9014216684637</v>
          </cell>
          <cell r="AL90">
            <v>77.026248381226196</v>
          </cell>
          <cell r="AM90">
            <v>18.878325260857899</v>
          </cell>
          <cell r="AN90">
            <v>53.8162413641627</v>
          </cell>
          <cell r="AO90">
            <v>63.846220769366802</v>
          </cell>
          <cell r="AP90">
            <v>67.388197641582096</v>
          </cell>
          <cell r="AQ90">
            <v>34.9379161033049</v>
          </cell>
          <cell r="AR90">
            <v>48.509872380724197</v>
          </cell>
          <cell r="AS90">
            <v>23.210007017063401</v>
          </cell>
        </row>
        <row r="91">
          <cell r="C91" t="str">
            <v>Japan</v>
          </cell>
          <cell r="D91" t="str">
            <v>Japanese yen</v>
          </cell>
          <cell r="E91" t="str">
            <v>JPY</v>
          </cell>
          <cell r="F91">
            <v>169.39677118644079</v>
          </cell>
          <cell r="G91" t="e">
            <v>#N/A</v>
          </cell>
          <cell r="H91" t="e">
            <v>#N/A</v>
          </cell>
          <cell r="I91">
            <v>-0.11799999999999999</v>
          </cell>
          <cell r="J91">
            <v>8.1999999999999993</v>
          </cell>
          <cell r="K91">
            <v>5</v>
          </cell>
          <cell r="L91">
            <v>0.9</v>
          </cell>
          <cell r="M91">
            <v>2.7</v>
          </cell>
          <cell r="N91">
            <v>61558.578000000001</v>
          </cell>
          <cell r="O91">
            <v>65014.902999999998</v>
          </cell>
          <cell r="P91">
            <v>1.7463138930857001</v>
          </cell>
          <cell r="Q91">
            <v>4.3954442872283401</v>
          </cell>
          <cell r="R91">
            <v>13.5572689804498</v>
          </cell>
          <cell r="S91">
            <v>23.595158419676299</v>
          </cell>
          <cell r="T91">
            <v>5.4150519851189598</v>
          </cell>
          <cell r="U91">
            <v>9.1618246932214706</v>
          </cell>
          <cell r="V91">
            <v>86.442731019550195</v>
          </cell>
          <cell r="W91">
            <v>10.0378894392265</v>
          </cell>
          <cell r="X91">
            <v>43.785405504331202</v>
          </cell>
          <cell r="Y91">
            <v>56.252451120622098</v>
          </cell>
          <cell r="Z91">
            <v>63.034955095941299</v>
          </cell>
          <cell r="AA91">
            <v>33.747516065104698</v>
          </cell>
          <cell r="AB91">
            <v>52.997065656714803</v>
          </cell>
          <cell r="AC91">
            <v>60.375432973776597</v>
          </cell>
          <cell r="AD91">
            <v>42.657325515219</v>
          </cell>
          <cell r="AE91">
            <v>23.407775923608899</v>
          </cell>
          <cell r="AF91">
            <v>1.56666233894097</v>
          </cell>
          <cell r="AG91">
            <v>3.94258067261902</v>
          </cell>
          <cell r="AH91">
            <v>12.191031031762099</v>
          </cell>
          <cell r="AI91">
            <v>21.255675794825098</v>
          </cell>
          <cell r="AJ91">
            <v>4.8687913907985099</v>
          </cell>
          <cell r="AK91">
            <v>8.2484503591430407</v>
          </cell>
          <cell r="AL91">
            <v>87.808968968237906</v>
          </cell>
          <cell r="AM91">
            <v>9.0646447630630202</v>
          </cell>
          <cell r="AN91">
            <v>40.108802438726997</v>
          </cell>
          <cell r="AO91">
            <v>51.989420025744003</v>
          </cell>
          <cell r="AP91">
            <v>58.688708648846301</v>
          </cell>
          <cell r="AQ91">
            <v>31.044157675664</v>
          </cell>
          <cell r="AR91">
            <v>49.624063885783201</v>
          </cell>
          <cell r="AS91">
            <v>47.700166529511002</v>
          </cell>
        </row>
        <row r="92">
          <cell r="C92" t="str">
            <v>Jordan</v>
          </cell>
          <cell r="D92" t="str">
            <v>Jordanian Dinar</v>
          </cell>
          <cell r="E92" t="str">
            <v>JOD</v>
          </cell>
          <cell r="F92">
            <v>1</v>
          </cell>
          <cell r="G92" t="e">
            <v>#N/A</v>
          </cell>
          <cell r="H92" t="e">
            <v>#N/A</v>
          </cell>
          <cell r="I92">
            <v>3.0579999999999998</v>
          </cell>
          <cell r="J92">
            <v>27.045999999999999</v>
          </cell>
          <cell r="K92">
            <v>58</v>
          </cell>
          <cell r="L92">
            <v>10.6</v>
          </cell>
          <cell r="M92">
            <v>17.899999999999999</v>
          </cell>
          <cell r="N92">
            <v>3889.0140000000001</v>
          </cell>
          <cell r="O92">
            <v>3705.5329999999999</v>
          </cell>
          <cell r="P92">
            <v>5.2987981015239303</v>
          </cell>
          <cell r="Q92">
            <v>12.871720184087801</v>
          </cell>
          <cell r="R92">
            <v>35.366162220038298</v>
          </cell>
          <cell r="S92">
            <v>54.279748028677702</v>
          </cell>
          <cell r="T92">
            <v>13.956570997173101</v>
          </cell>
          <cell r="U92">
            <v>22.494442035950499</v>
          </cell>
          <cell r="V92">
            <v>64.633837779961695</v>
          </cell>
          <cell r="W92">
            <v>18.9135858086394</v>
          </cell>
          <cell r="X92">
            <v>53.497878896810398</v>
          </cell>
          <cell r="Y92">
            <v>59.4804235726588</v>
          </cell>
          <cell r="Z92">
            <v>61.101785696837297</v>
          </cell>
          <cell r="AA92">
            <v>34.584293088170902</v>
          </cell>
          <cell r="AB92">
            <v>42.1881998881979</v>
          </cell>
          <cell r="AC92">
            <v>43.478655515253998</v>
          </cell>
          <cell r="AD92">
            <v>11.1359588831514</v>
          </cell>
          <cell r="AE92">
            <v>3.5320520831244102</v>
          </cell>
          <cell r="AF92">
            <v>5.3141073092588798</v>
          </cell>
          <cell r="AG92">
            <v>12.9487984589531</v>
          </cell>
          <cell r="AH92">
            <v>35.692571082216801</v>
          </cell>
          <cell r="AI92">
            <v>54.747589618011801</v>
          </cell>
          <cell r="AJ92">
            <v>14.119642167537</v>
          </cell>
          <cell r="AK92">
            <v>22.743772623263599</v>
          </cell>
          <cell r="AL92">
            <v>64.307428917783199</v>
          </cell>
          <cell r="AM92">
            <v>19.055018535795</v>
          </cell>
          <cell r="AN92">
            <v>52.589438550405603</v>
          </cell>
          <cell r="AO92">
            <v>58.549984577117499</v>
          </cell>
          <cell r="AP92">
            <v>60.255110398423099</v>
          </cell>
          <cell r="AQ92">
            <v>33.534420014610603</v>
          </cell>
          <cell r="AR92">
            <v>41.200091862628099</v>
          </cell>
          <cell r="AS92">
            <v>11.7179903673777</v>
          </cell>
        </row>
        <row r="93">
          <cell r="C93" t="str">
            <v>Kazakhstan</v>
          </cell>
          <cell r="D93" t="str">
            <v>Tenge</v>
          </cell>
          <cell r="E93" t="str">
            <v>KZT</v>
          </cell>
          <cell r="F93">
            <v>308.42671848739508</v>
          </cell>
          <cell r="G93" t="e">
            <v>#N/A</v>
          </cell>
          <cell r="H93" t="e">
            <v>#N/A</v>
          </cell>
          <cell r="I93">
            <v>1.55</v>
          </cell>
          <cell r="J93">
            <v>22.73</v>
          </cell>
          <cell r="K93">
            <v>12</v>
          </cell>
          <cell r="L93">
            <v>7</v>
          </cell>
          <cell r="M93">
            <v>14.1</v>
          </cell>
          <cell r="N93">
            <v>8512.0589999999993</v>
          </cell>
          <cell r="O93">
            <v>9113.1669999999995</v>
          </cell>
          <cell r="P93">
            <v>4.7276340542282398</v>
          </cell>
          <cell r="Q93">
            <v>11.769573025750899</v>
          </cell>
          <cell r="R93">
            <v>28.419974532601302</v>
          </cell>
          <cell r="S93">
            <v>44.154263968330099</v>
          </cell>
          <cell r="T93">
            <v>11.3470900518899</v>
          </cell>
          <cell r="U93">
            <v>16.6504015068505</v>
          </cell>
          <cell r="V93">
            <v>71.580025467398698</v>
          </cell>
          <cell r="W93">
            <v>15.734289435728799</v>
          </cell>
          <cell r="X93">
            <v>52.515155263843901</v>
          </cell>
          <cell r="Y93">
            <v>63.233302306762702</v>
          </cell>
          <cell r="Z93">
            <v>66.647364638802401</v>
          </cell>
          <cell r="AA93">
            <v>36.780865828115203</v>
          </cell>
          <cell r="AB93">
            <v>50.913075203073703</v>
          </cell>
          <cell r="AC93">
            <v>52.674681883666501</v>
          </cell>
          <cell r="AD93">
            <v>19.064870203554701</v>
          </cell>
          <cell r="AE93">
            <v>4.9326608285962301</v>
          </cell>
          <cell r="AF93">
            <v>4.1849885994627298</v>
          </cell>
          <cell r="AG93">
            <v>10.387332965586999</v>
          </cell>
          <cell r="AH93">
            <v>25.127126497297802</v>
          </cell>
          <cell r="AI93">
            <v>39.392024748366801</v>
          </cell>
          <cell r="AJ93">
            <v>10.0117006524735</v>
          </cell>
          <cell r="AK93">
            <v>14.7397935317108</v>
          </cell>
          <cell r="AL93">
            <v>74.872873502702205</v>
          </cell>
          <cell r="AM93">
            <v>14.264898251069001</v>
          </cell>
          <cell r="AN93">
            <v>50.243521269828598</v>
          </cell>
          <cell r="AO93">
            <v>62.020711350949703</v>
          </cell>
          <cell r="AP93">
            <v>66.452990491669894</v>
          </cell>
          <cell r="AQ93">
            <v>35.978623018759599</v>
          </cell>
          <cell r="AR93">
            <v>52.188092240600902</v>
          </cell>
          <cell r="AS93">
            <v>24.6293522328736</v>
          </cell>
        </row>
        <row r="94">
          <cell r="C94" t="str">
            <v>Kenya</v>
          </cell>
          <cell r="D94" t="str">
            <v>Kenyan Shilling</v>
          </cell>
          <cell r="E94" t="str">
            <v>KES</v>
          </cell>
          <cell r="F94">
            <v>1</v>
          </cell>
          <cell r="G94" t="e">
            <v>#N/A</v>
          </cell>
          <cell r="H94" t="e">
            <v>#N/A</v>
          </cell>
          <cell r="I94">
            <v>2.6539999999999999</v>
          </cell>
          <cell r="J94">
            <v>35.194000000000003</v>
          </cell>
          <cell r="K94">
            <v>510</v>
          </cell>
          <cell r="L94">
            <v>22.2</v>
          </cell>
          <cell r="M94">
            <v>49.4</v>
          </cell>
          <cell r="N94">
            <v>23016.937000000002</v>
          </cell>
          <cell r="O94">
            <v>23033.365000000002</v>
          </cell>
          <cell r="P94">
            <v>6.4323024388518801</v>
          </cell>
          <cell r="Q94">
            <v>15.6984224269285</v>
          </cell>
          <cell r="R94">
            <v>42.204468822241701</v>
          </cell>
          <cell r="S94">
            <v>61.713389579160797</v>
          </cell>
          <cell r="T94">
            <v>16.7999808141283</v>
          </cell>
          <cell r="U94">
            <v>26.506046395313199</v>
          </cell>
          <cell r="V94">
            <v>57.795531177758399</v>
          </cell>
          <cell r="W94">
            <v>19.5089207569191</v>
          </cell>
          <cell r="X94">
            <v>49.124798838351097</v>
          </cell>
          <cell r="Y94">
            <v>53.623807546590598</v>
          </cell>
          <cell r="Z94">
            <v>55.240695145492197</v>
          </cell>
          <cell r="AA94">
            <v>29.615878081432001</v>
          </cell>
          <cell r="AB94">
            <v>35.731774388573101</v>
          </cell>
          <cell r="AC94">
            <v>36.834201701121202</v>
          </cell>
          <cell r="AD94">
            <v>8.6707323394072908</v>
          </cell>
          <cell r="AE94">
            <v>2.5548360322661501</v>
          </cell>
          <cell r="AF94">
            <v>6.3081490698384703</v>
          </cell>
          <cell r="AG94">
            <v>15.426287040560499</v>
          </cell>
          <cell r="AH94">
            <v>41.613867535203802</v>
          </cell>
          <cell r="AI94">
            <v>61.020358944513802</v>
          </cell>
          <cell r="AJ94">
            <v>16.586747094920799</v>
          </cell>
          <cell r="AK94">
            <v>26.187580494643299</v>
          </cell>
          <cell r="AL94">
            <v>58.386132464796198</v>
          </cell>
          <cell r="AM94">
            <v>19.406491409309901</v>
          </cell>
          <cell r="AN94">
            <v>48.517253123892203</v>
          </cell>
          <cell r="AO94">
            <v>53.482676109200703</v>
          </cell>
          <cell r="AP94">
            <v>55.336256773597803</v>
          </cell>
          <cell r="AQ94">
            <v>29.110761714582299</v>
          </cell>
          <cell r="AR94">
            <v>35.929765364287803</v>
          </cell>
          <cell r="AS94">
            <v>9.8688793409039395</v>
          </cell>
        </row>
        <row r="95">
          <cell r="C95" t="str">
            <v>Kiribati</v>
          </cell>
          <cell r="D95" t="str">
            <v>Australian Dollar</v>
          </cell>
          <cell r="E95" t="str">
            <v>AUD</v>
          </cell>
          <cell r="F95">
            <v>1.8631010330578528</v>
          </cell>
          <cell r="G95" t="e">
            <v>#N/A</v>
          </cell>
          <cell r="H95" t="e">
            <v>#N/A</v>
          </cell>
          <cell r="I95">
            <v>1.819</v>
          </cell>
          <cell r="J95">
            <v>29.044</v>
          </cell>
          <cell r="K95">
            <v>90</v>
          </cell>
          <cell r="L95">
            <v>23.7</v>
          </cell>
          <cell r="M95">
            <v>55.9</v>
          </cell>
          <cell r="N95">
            <v>55.423999999999999</v>
          </cell>
          <cell r="O95">
            <v>56.999000000000002</v>
          </cell>
          <cell r="P95">
            <v>5.27208429561201</v>
          </cell>
          <cell r="Q95">
            <v>13.587976327944601</v>
          </cell>
          <cell r="R95">
            <v>36.280311778291001</v>
          </cell>
          <cell r="S95">
            <v>56.715502309468803</v>
          </cell>
          <cell r="T95">
            <v>14.737297921478101</v>
          </cell>
          <cell r="U95">
            <v>22.692335450346398</v>
          </cell>
          <cell r="V95">
            <v>63.719688221708999</v>
          </cell>
          <cell r="W95">
            <v>20.435190531177799</v>
          </cell>
          <cell r="X95">
            <v>51.290054849884598</v>
          </cell>
          <cell r="Y95">
            <v>58.541426096997697</v>
          </cell>
          <cell r="Z95">
            <v>60.701140300231003</v>
          </cell>
          <cell r="AA95">
            <v>30.854864318706699</v>
          </cell>
          <cell r="AB95">
            <v>40.265949769053101</v>
          </cell>
          <cell r="AC95">
            <v>41.626371247113198</v>
          </cell>
          <cell r="AD95">
            <v>12.429633371824499</v>
          </cell>
          <cell r="AE95">
            <v>3.0185479214780599</v>
          </cell>
          <cell r="AF95">
            <v>4.8035930454920299</v>
          </cell>
          <cell r="AG95">
            <v>12.677415393252501</v>
          </cell>
          <cell r="AH95">
            <v>33.649713152862297</v>
          </cell>
          <cell r="AI95">
            <v>52.874611835295397</v>
          </cell>
          <cell r="AJ95">
            <v>13.8423481113704</v>
          </cell>
          <cell r="AK95">
            <v>20.972297759609798</v>
          </cell>
          <cell r="AL95">
            <v>66.350286847137696</v>
          </cell>
          <cell r="AM95">
            <v>19.224898682433</v>
          </cell>
          <cell r="AN95">
            <v>51.430726854857099</v>
          </cell>
          <cell r="AO95">
            <v>59.418586290987598</v>
          </cell>
          <cell r="AP95">
            <v>61.980034737451497</v>
          </cell>
          <cell r="AQ95">
            <v>32.205828172424098</v>
          </cell>
          <cell r="AR95">
            <v>42.755136055018497</v>
          </cell>
          <cell r="AS95">
            <v>14.9195599922806</v>
          </cell>
        </row>
        <row r="96">
          <cell r="C96" t="str">
            <v>Kuwait</v>
          </cell>
          <cell r="D96" t="str">
            <v>Kuwaiti Dinar</v>
          </cell>
          <cell r="E96" t="str">
            <v>KWD</v>
          </cell>
          <cell r="F96">
            <v>0.42095800862068999</v>
          </cell>
          <cell r="G96" t="e">
            <v>#N/A</v>
          </cell>
          <cell r="H96" t="e">
            <v>#N/A</v>
          </cell>
          <cell r="I96">
            <v>4.8140000000000001</v>
          </cell>
          <cell r="J96">
            <v>20.574999999999999</v>
          </cell>
          <cell r="K96">
            <v>4</v>
          </cell>
          <cell r="L96">
            <v>3.2</v>
          </cell>
          <cell r="M96">
            <v>8.6</v>
          </cell>
          <cell r="N96">
            <v>2186.4360000000001</v>
          </cell>
          <cell r="O96">
            <v>1705.6790000000001</v>
          </cell>
          <cell r="P96">
            <v>3.3007597752689799</v>
          </cell>
          <cell r="Q96">
            <v>8.1137979799088598</v>
          </cell>
          <cell r="R96">
            <v>20.3994994593942</v>
          </cell>
          <cell r="S96">
            <v>32.4989617807244</v>
          </cell>
          <cell r="T96">
            <v>8.0634877947490793</v>
          </cell>
          <cell r="U96">
            <v>12.285701479485301</v>
          </cell>
          <cell r="V96">
            <v>79.600500540605793</v>
          </cell>
          <cell r="W96">
            <v>12.099462321330201</v>
          </cell>
          <cell r="X96">
            <v>68.398937814781704</v>
          </cell>
          <cell r="Y96">
            <v>76.193906430373502</v>
          </cell>
          <cell r="Z96">
            <v>77.613385436390601</v>
          </cell>
          <cell r="AA96">
            <v>56.299475493451503</v>
          </cell>
          <cell r="AB96">
            <v>65.513923115060294</v>
          </cell>
          <cell r="AC96">
            <v>66.443975492536694</v>
          </cell>
          <cell r="AD96">
            <v>11.2015627258241</v>
          </cell>
          <cell r="AE96">
            <v>1.9871151042152599</v>
          </cell>
          <cell r="AF96">
            <v>3.9361450777080602</v>
          </cell>
          <cell r="AG96">
            <v>9.9943776056338898</v>
          </cell>
          <cell r="AH96">
            <v>24.7911828661782</v>
          </cell>
          <cell r="AI96">
            <v>39.897190503019601</v>
          </cell>
          <cell r="AJ96">
            <v>10.0440352493054</v>
          </cell>
          <cell r="AK96">
            <v>14.7968052605443</v>
          </cell>
          <cell r="AL96">
            <v>75.208817133821796</v>
          </cell>
          <cell r="AM96">
            <v>15.106007636841399</v>
          </cell>
          <cell r="AN96">
            <v>64.917783475085301</v>
          </cell>
          <cell r="AO96">
            <v>71.757288446419295</v>
          </cell>
          <cell r="AP96">
            <v>73.260502122615094</v>
          </cell>
          <cell r="AQ96">
            <v>49.811775838243904</v>
          </cell>
          <cell r="AR96">
            <v>58.154494485773697</v>
          </cell>
          <cell r="AS96">
            <v>10.291033658736501</v>
          </cell>
        </row>
        <row r="97">
          <cell r="C97" t="str">
            <v>Kyrgyzstan</v>
          </cell>
          <cell r="D97" t="str">
            <v>Som</v>
          </cell>
          <cell r="E97" t="str">
            <v>KGS</v>
          </cell>
          <cell r="F97">
            <v>1</v>
          </cell>
          <cell r="G97" t="e">
            <v>#N/A</v>
          </cell>
          <cell r="H97" t="e">
            <v>#N/A</v>
          </cell>
          <cell r="I97">
            <v>1.6679999999999999</v>
          </cell>
          <cell r="J97">
            <v>27.2</v>
          </cell>
          <cell r="K97">
            <v>76</v>
          </cell>
          <cell r="L97">
            <v>11.5</v>
          </cell>
          <cell r="M97">
            <v>21.3</v>
          </cell>
          <cell r="N97">
            <v>2940.1770000000001</v>
          </cell>
          <cell r="O97">
            <v>2999.7849999999999</v>
          </cell>
          <cell r="P97">
            <v>5.8413490072196304</v>
          </cell>
          <cell r="Q97">
            <v>13.6278190054544</v>
          </cell>
          <cell r="R97">
            <v>32.423728231327601</v>
          </cell>
          <cell r="S97">
            <v>51.313237264287203</v>
          </cell>
          <cell r="T97">
            <v>12.196646664469499</v>
          </cell>
          <cell r="U97">
            <v>18.7959092258731</v>
          </cell>
          <cell r="V97">
            <v>67.576271768672399</v>
          </cell>
          <cell r="W97">
            <v>18.889509032959602</v>
          </cell>
          <cell r="X97">
            <v>53.033473835078603</v>
          </cell>
          <cell r="Y97">
            <v>61.692204244846501</v>
          </cell>
          <cell r="Z97">
            <v>64.242730964836497</v>
          </cell>
          <cell r="AA97">
            <v>34.1439648021191</v>
          </cell>
          <cell r="AB97">
            <v>45.353221931876902</v>
          </cell>
          <cell r="AC97">
            <v>46.4990032912985</v>
          </cell>
          <cell r="AD97">
            <v>14.5427979335938</v>
          </cell>
          <cell r="AE97">
            <v>3.3335408038359602</v>
          </cell>
          <cell r="AF97">
            <v>5.3874861031707297</v>
          </cell>
          <cell r="AG97">
            <v>12.657107092675</v>
          </cell>
          <cell r="AH97">
            <v>30.3998786579705</v>
          </cell>
          <cell r="AI97">
            <v>48.219955763496401</v>
          </cell>
          <cell r="AJ97">
            <v>11.514325193305501</v>
          </cell>
          <cell r="AK97">
            <v>17.742771565295499</v>
          </cell>
          <cell r="AL97">
            <v>69.600121342029496</v>
          </cell>
          <cell r="AM97">
            <v>17.8200771055259</v>
          </cell>
          <cell r="AN97">
            <v>51.827147612245497</v>
          </cell>
          <cell r="AO97">
            <v>61.370698233373403</v>
          </cell>
          <cell r="AP97">
            <v>64.497722336767495</v>
          </cell>
          <cell r="AQ97">
            <v>34.0070705067196</v>
          </cell>
          <cell r="AR97">
            <v>46.677645231241598</v>
          </cell>
          <cell r="AS97">
            <v>17.772973729783999</v>
          </cell>
        </row>
        <row r="98">
          <cell r="C98" t="str">
            <v>Lao People's Democratic Republic</v>
          </cell>
          <cell r="D98" t="str">
            <v>Kip</v>
          </cell>
          <cell r="E98" t="str">
            <v>LAK</v>
          </cell>
          <cell r="F98">
            <v>1</v>
          </cell>
          <cell r="G98" t="e">
            <v>#N/A</v>
          </cell>
          <cell r="H98" t="e">
            <v>#N/A</v>
          </cell>
          <cell r="I98">
            <v>1.659</v>
          </cell>
          <cell r="J98">
            <v>27.050999999999998</v>
          </cell>
          <cell r="K98">
            <v>197</v>
          </cell>
          <cell r="L98">
            <v>30.1</v>
          </cell>
          <cell r="M98">
            <v>66.7</v>
          </cell>
          <cell r="N98">
            <v>3385.328</v>
          </cell>
          <cell r="O98">
            <v>3416.6950000000002</v>
          </cell>
          <cell r="P98">
            <v>5.0491119324331404</v>
          </cell>
          <cell r="Q98">
            <v>12.654401582357799</v>
          </cell>
          <cell r="R98">
            <v>35.630373186881698</v>
          </cell>
          <cell r="S98">
            <v>58.215009003558897</v>
          </cell>
          <cell r="T98">
            <v>14.2482500957071</v>
          </cell>
          <cell r="U98">
            <v>22.975971604523998</v>
          </cell>
          <cell r="V98">
            <v>64.369626813118302</v>
          </cell>
          <cell r="W98">
            <v>22.5846358166771</v>
          </cell>
          <cell r="X98">
            <v>52.987893639848203</v>
          </cell>
          <cell r="Y98">
            <v>58.950979048411199</v>
          </cell>
          <cell r="Z98">
            <v>61.034292688921099</v>
          </cell>
          <cell r="AA98">
            <v>30.403257823171099</v>
          </cell>
          <cell r="AB98">
            <v>38.449656872243999</v>
          </cell>
          <cell r="AC98">
            <v>39.822551906344103</v>
          </cell>
          <cell r="AD98">
            <v>11.381733173270099</v>
          </cell>
          <cell r="AE98">
            <v>3.3353341241971202</v>
          </cell>
          <cell r="AF98">
            <v>4.7941065854575804</v>
          </cell>
          <cell r="AG98">
            <v>12.0118125849688</v>
          </cell>
          <cell r="AH98">
            <v>33.9167528854639</v>
          </cell>
          <cell r="AI98">
            <v>55.738074367188197</v>
          </cell>
          <cell r="AJ98">
            <v>13.5525705396589</v>
          </cell>
          <cell r="AK98">
            <v>21.904940300495099</v>
          </cell>
          <cell r="AL98">
            <v>66.083247114536107</v>
          </cell>
          <cell r="AM98">
            <v>21.821321481724301</v>
          </cell>
          <cell r="AN98">
            <v>53.021179824362399</v>
          </cell>
          <cell r="AO98">
            <v>59.528433178846797</v>
          </cell>
          <cell r="AP98">
            <v>61.801770424342799</v>
          </cell>
          <cell r="AQ98">
            <v>31.199858342638102</v>
          </cell>
          <cell r="AR98">
            <v>39.980448942618501</v>
          </cell>
          <cell r="AS98">
            <v>13.062067290173699</v>
          </cell>
        </row>
        <row r="99">
          <cell r="C99" t="str">
            <v>Latvia</v>
          </cell>
          <cell r="D99" t="str">
            <v>Latvian Lats</v>
          </cell>
          <cell r="E99" t="str">
            <v>LVL</v>
          </cell>
          <cell r="F99">
            <v>1</v>
          </cell>
          <cell r="G99" t="e">
            <v>#N/A</v>
          </cell>
          <cell r="H99" t="e">
            <v>#N/A</v>
          </cell>
          <cell r="I99">
            <v>-1.1819999999999999</v>
          </cell>
          <cell r="J99">
            <v>10.199999999999999</v>
          </cell>
          <cell r="K99">
            <v>18</v>
          </cell>
          <cell r="L99">
            <v>5.2</v>
          </cell>
          <cell r="M99">
            <v>7.9</v>
          </cell>
          <cell r="N99">
            <v>903.99</v>
          </cell>
          <cell r="O99">
            <v>1066.5129999999999</v>
          </cell>
          <cell r="P99">
            <v>1.9274549497229001</v>
          </cell>
          <cell r="Q99">
            <v>5.4277149083507599</v>
          </cell>
          <cell r="R99">
            <v>16.680715494640399</v>
          </cell>
          <cell r="S99">
            <v>28.395446852288199</v>
          </cell>
          <cell r="T99">
            <v>7.1871370258520599</v>
          </cell>
          <cell r="U99">
            <v>11.2530005862897</v>
          </cell>
          <cell r="V99">
            <v>83.319284505359605</v>
          </cell>
          <cell r="W99">
            <v>11.7147313576478</v>
          </cell>
          <cell r="X99">
            <v>48.957068109160502</v>
          </cell>
          <cell r="Y99">
            <v>63.784555138884301</v>
          </cell>
          <cell r="Z99">
            <v>69.55331364285</v>
          </cell>
          <cell r="AA99">
            <v>37.242336751512703</v>
          </cell>
          <cell r="AB99">
            <v>57.8385822852023</v>
          </cell>
          <cell r="AC99">
            <v>61.965176605935902</v>
          </cell>
          <cell r="AD99">
            <v>34.362216396199102</v>
          </cell>
          <cell r="AE99">
            <v>13.7659708625095</v>
          </cell>
          <cell r="AF99">
            <v>1.5179374278607001</v>
          </cell>
          <cell r="AG99">
            <v>4.3165906088345798</v>
          </cell>
          <cell r="AH99">
            <v>13.431528729607599</v>
          </cell>
          <cell r="AI99">
            <v>22.733149994421101</v>
          </cell>
          <cell r="AJ99">
            <v>5.8194321119386299</v>
          </cell>
          <cell r="AK99">
            <v>9.1149381207730205</v>
          </cell>
          <cell r="AL99">
            <v>86.568471270392394</v>
          </cell>
          <cell r="AM99">
            <v>9.3016212648134609</v>
          </cell>
          <cell r="AN99">
            <v>40.926739758446402</v>
          </cell>
          <cell r="AO99">
            <v>55.721683655051599</v>
          </cell>
          <cell r="AP99">
            <v>62.4524970628581</v>
          </cell>
          <cell r="AQ99">
            <v>31.625118493633</v>
          </cell>
          <cell r="AR99">
            <v>53.150875798044702</v>
          </cell>
          <cell r="AS99">
            <v>45.641731511945899</v>
          </cell>
        </row>
        <row r="100">
          <cell r="C100" t="str">
            <v>Lebanon</v>
          </cell>
          <cell r="D100" t="str">
            <v>Lebanese Pound</v>
          </cell>
          <cell r="E100" t="str">
            <v>LBP</v>
          </cell>
          <cell r="F100">
            <v>1</v>
          </cell>
          <cell r="G100" t="e">
            <v>#N/A</v>
          </cell>
          <cell r="H100" t="e">
            <v>#N/A</v>
          </cell>
          <cell r="I100">
            <v>5.9870000000000001</v>
          </cell>
          <cell r="J100">
            <v>13.426</v>
          </cell>
          <cell r="K100">
            <v>15</v>
          </cell>
          <cell r="L100">
            <v>4.8</v>
          </cell>
          <cell r="M100">
            <v>8.3000000000000007</v>
          </cell>
          <cell r="N100">
            <v>2938.529</v>
          </cell>
          <cell r="O100">
            <v>2912.2139999999999</v>
          </cell>
          <cell r="P100">
            <v>3.4101075742318701</v>
          </cell>
          <cell r="Q100">
            <v>7.9478201508305704</v>
          </cell>
          <cell r="R100">
            <v>23.808783238143999</v>
          </cell>
          <cell r="S100">
            <v>42.529374391064401</v>
          </cell>
          <cell r="T100">
            <v>9.0214866009489807</v>
          </cell>
          <cell r="U100">
            <v>15.860963087313401</v>
          </cell>
          <cell r="V100">
            <v>76.191216761855998</v>
          </cell>
          <cell r="W100">
            <v>18.720591152920399</v>
          </cell>
          <cell r="X100">
            <v>54.210082663808997</v>
          </cell>
          <cell r="Y100">
            <v>64.913397145306305</v>
          </cell>
          <cell r="Z100">
            <v>68.154610691267607</v>
          </cell>
          <cell r="AA100">
            <v>35.489491510888598</v>
          </cell>
          <cell r="AB100">
            <v>49.434019538347201</v>
          </cell>
          <cell r="AC100">
            <v>52.253117120845097</v>
          </cell>
          <cell r="AD100">
            <v>21.981134098047001</v>
          </cell>
          <cell r="AE100">
            <v>8.0366060705883804</v>
          </cell>
          <cell r="AF100">
            <v>3.3237598610541701</v>
          </cell>
          <cell r="AG100">
            <v>7.8148103127036697</v>
          </cell>
          <cell r="AH100">
            <v>24.1789580023996</v>
          </cell>
          <cell r="AI100">
            <v>44.419709540576299</v>
          </cell>
          <cell r="AJ100">
            <v>9.2062945923616901</v>
          </cell>
          <cell r="AK100">
            <v>16.364147689695901</v>
          </cell>
          <cell r="AL100">
            <v>75.821041997600403</v>
          </cell>
          <cell r="AM100">
            <v>20.240751538176799</v>
          </cell>
          <cell r="AN100">
            <v>55.970543373529601</v>
          </cell>
          <cell r="AO100">
            <v>64.1835043715881</v>
          </cell>
          <cell r="AP100">
            <v>67.585417829871005</v>
          </cell>
          <cell r="AQ100">
            <v>35.729791835352799</v>
          </cell>
          <cell r="AR100">
            <v>47.344666291694203</v>
          </cell>
          <cell r="AS100">
            <v>19.850498624070902</v>
          </cell>
        </row>
        <row r="101">
          <cell r="C101" t="str">
            <v>Lesotho</v>
          </cell>
          <cell r="D101" t="str">
            <v>Loti</v>
          </cell>
          <cell r="E101" t="str">
            <v>LSL</v>
          </cell>
          <cell r="F101">
            <v>1</v>
          </cell>
          <cell r="G101" t="e">
            <v>#N/A</v>
          </cell>
          <cell r="H101" t="e">
            <v>#N/A</v>
          </cell>
          <cell r="I101">
            <v>1.2010000000000001</v>
          </cell>
          <cell r="J101">
            <v>28.738</v>
          </cell>
          <cell r="K101">
            <v>487</v>
          </cell>
          <cell r="L101">
            <v>32.700000000000003</v>
          </cell>
          <cell r="M101">
            <v>90.2</v>
          </cell>
          <cell r="N101">
            <v>1056.7750000000001</v>
          </cell>
          <cell r="O101">
            <v>1078.2470000000001</v>
          </cell>
          <cell r="P101">
            <v>5.5650445932199402</v>
          </cell>
          <cell r="Q101">
            <v>13.274254216838999</v>
          </cell>
          <cell r="R101">
            <v>36.725982351967097</v>
          </cell>
          <cell r="S101">
            <v>60.069740484019803</v>
          </cell>
          <cell r="T101">
            <v>14.1849494925599</v>
          </cell>
          <cell r="U101">
            <v>23.4517281351281</v>
          </cell>
          <cell r="V101">
            <v>63.274017648032903</v>
          </cell>
          <cell r="W101">
            <v>23.343758132052699</v>
          </cell>
          <cell r="X101">
            <v>54.935535000354797</v>
          </cell>
          <cell r="Y101">
            <v>58.399470085874498</v>
          </cell>
          <cell r="Z101">
            <v>60.022521350334699</v>
          </cell>
          <cell r="AA101">
            <v>31.591776868302102</v>
          </cell>
          <cell r="AB101">
            <v>36.678763218282</v>
          </cell>
          <cell r="AC101">
            <v>37.9780937285609</v>
          </cell>
          <cell r="AD101">
            <v>8.3384826476780702</v>
          </cell>
          <cell r="AE101">
            <v>3.25149629769819</v>
          </cell>
          <cell r="AF101">
            <v>5.3632423739644004</v>
          </cell>
          <cell r="AG101">
            <v>12.8093099262043</v>
          </cell>
          <cell r="AH101">
            <v>35.432326730331702</v>
          </cell>
          <cell r="AI101">
            <v>57.736678145174501</v>
          </cell>
          <cell r="AJ101">
            <v>13.7019625373407</v>
          </cell>
          <cell r="AK101">
            <v>22.623016804127399</v>
          </cell>
          <cell r="AL101">
            <v>64.567673269668205</v>
          </cell>
          <cell r="AM101">
            <v>22.304351414842799</v>
          </cell>
          <cell r="AN101">
            <v>51.448786780765403</v>
          </cell>
          <cell r="AO101">
            <v>56.998442842873601</v>
          </cell>
          <cell r="AP101">
            <v>59.552310370443799</v>
          </cell>
          <cell r="AQ101">
            <v>29.1444353659226</v>
          </cell>
          <cell r="AR101">
            <v>37.247958955601099</v>
          </cell>
          <cell r="AS101">
            <v>13.118886488902801</v>
          </cell>
        </row>
        <row r="102">
          <cell r="C102" t="str">
            <v>Liberia</v>
          </cell>
          <cell r="D102" t="str">
            <v>Liberian Dollar</v>
          </cell>
          <cell r="E102" t="str">
            <v>LRD</v>
          </cell>
          <cell r="F102">
            <v>1</v>
          </cell>
          <cell r="G102" t="e">
            <v>#N/A</v>
          </cell>
          <cell r="H102" t="e">
            <v>#N/A</v>
          </cell>
          <cell r="I102">
            <v>2.5819999999999999</v>
          </cell>
          <cell r="J102">
            <v>35.521000000000001</v>
          </cell>
          <cell r="K102">
            <v>725</v>
          </cell>
          <cell r="L102">
            <v>24.1</v>
          </cell>
          <cell r="M102">
            <v>69.900000000000006</v>
          </cell>
          <cell r="N102">
            <v>2269.7950000000001</v>
          </cell>
          <cell r="O102">
            <v>2233.643</v>
          </cell>
          <cell r="P102">
            <v>6.4826118658292904</v>
          </cell>
          <cell r="Q102">
            <v>15.7703669274097</v>
          </cell>
          <cell r="R102">
            <v>42.833075233666499</v>
          </cell>
          <cell r="S102">
            <v>62.240995332177597</v>
          </cell>
          <cell r="T102">
            <v>17.017572071486601</v>
          </cell>
          <cell r="U102">
            <v>27.062708306256699</v>
          </cell>
          <cell r="V102">
            <v>57.166924766333501</v>
          </cell>
          <cell r="W102">
            <v>19.407920098511099</v>
          </cell>
          <cell r="X102">
            <v>47.589584081381801</v>
          </cell>
          <cell r="Y102">
            <v>52.728065750431199</v>
          </cell>
          <cell r="Z102">
            <v>54.406983890615599</v>
          </cell>
          <cell r="AA102">
            <v>28.181663982870699</v>
          </cell>
          <cell r="AB102">
            <v>34.9990637921046</v>
          </cell>
          <cell r="AC102">
            <v>36.1756017613925</v>
          </cell>
          <cell r="AD102">
            <v>9.5773406849517198</v>
          </cell>
          <cell r="AE102">
            <v>2.7599408757178501</v>
          </cell>
          <cell r="AF102">
            <v>6.3158705307876</v>
          </cell>
          <cell r="AG102">
            <v>15.3636906166294</v>
          </cell>
          <cell r="AH102">
            <v>41.769835197477903</v>
          </cell>
          <cell r="AI102">
            <v>60.899167861650298</v>
          </cell>
          <cell r="AJ102">
            <v>16.588102933190299</v>
          </cell>
          <cell r="AK102">
            <v>26.406144580848402</v>
          </cell>
          <cell r="AL102">
            <v>58.230164802522197</v>
          </cell>
          <cell r="AM102">
            <v>19.129332664172399</v>
          </cell>
          <cell r="AN102">
            <v>47.446212308770903</v>
          </cell>
          <cell r="AO102">
            <v>53.019887242500303</v>
          </cell>
          <cell r="AP102">
            <v>54.963170032095498</v>
          </cell>
          <cell r="AQ102">
            <v>28.316879644598501</v>
          </cell>
          <cell r="AR102">
            <v>35.833837367923202</v>
          </cell>
          <cell r="AS102">
            <v>10.783952493751199</v>
          </cell>
        </row>
        <row r="103">
          <cell r="C103" t="str">
            <v>Libya</v>
          </cell>
          <cell r="D103" t="str">
            <v>Libyan Dinar</v>
          </cell>
          <cell r="E103" t="str">
            <v>LYD</v>
          </cell>
          <cell r="F103">
            <v>1.9323999999999879</v>
          </cell>
          <cell r="G103" t="e">
            <v>#N/A</v>
          </cell>
          <cell r="H103" t="e">
            <v>#N/A</v>
          </cell>
          <cell r="I103">
            <v>4.1000000000000002E-2</v>
          </cell>
          <cell r="J103">
            <v>21.425000000000001</v>
          </cell>
          <cell r="K103">
            <v>9</v>
          </cell>
          <cell r="L103">
            <v>7.2</v>
          </cell>
          <cell r="M103">
            <v>13.4</v>
          </cell>
          <cell r="N103">
            <v>3156.7449999999999</v>
          </cell>
          <cell r="O103">
            <v>3121.6930000000002</v>
          </cell>
          <cell r="P103">
            <v>4.0826864380873298</v>
          </cell>
          <cell r="Q103">
            <v>10.5411111762274</v>
          </cell>
          <cell r="R103">
            <v>30.420734015576201</v>
          </cell>
          <cell r="S103">
            <v>46.332757318060203</v>
          </cell>
          <cell r="T103">
            <v>12.5174507285194</v>
          </cell>
          <cell r="U103">
            <v>19.879622839348801</v>
          </cell>
          <cell r="V103">
            <v>69.579265984423898</v>
          </cell>
          <cell r="W103">
            <v>15.912023302484</v>
          </cell>
          <cell r="X103">
            <v>55.264362499980201</v>
          </cell>
          <cell r="Y103">
            <v>62.998309968020898</v>
          </cell>
          <cell r="Z103">
            <v>65.424828422948295</v>
          </cell>
          <cell r="AA103">
            <v>39.3523391974962</v>
          </cell>
          <cell r="AB103">
            <v>49.5128051204643</v>
          </cell>
          <cell r="AC103">
            <v>51.117591062946197</v>
          </cell>
          <cell r="AD103">
            <v>14.314903484443599</v>
          </cell>
          <cell r="AE103">
            <v>4.1544375614755102</v>
          </cell>
          <cell r="AF103">
            <v>3.9094811693526599</v>
          </cell>
          <cell r="AG103">
            <v>10.1305925983112</v>
          </cell>
          <cell r="AH103">
            <v>29.238365207597301</v>
          </cell>
          <cell r="AI103">
            <v>45.183527015628997</v>
          </cell>
          <cell r="AJ103">
            <v>12.046411995029599</v>
          </cell>
          <cell r="AK103">
            <v>19.107772609286101</v>
          </cell>
          <cell r="AL103">
            <v>70.761634792402702</v>
          </cell>
          <cell r="AM103">
            <v>15.945161808031701</v>
          </cell>
          <cell r="AN103">
            <v>55.580641658228402</v>
          </cell>
          <cell r="AO103">
            <v>63.341462469243503</v>
          </cell>
          <cell r="AP103">
            <v>65.830368328980498</v>
          </cell>
          <cell r="AQ103">
            <v>39.635479850196703</v>
          </cell>
          <cell r="AR103">
            <v>49.885206520948699</v>
          </cell>
          <cell r="AS103">
            <v>15.180993134174299</v>
          </cell>
        </row>
        <row r="104">
          <cell r="C104" t="str">
            <v>Liechtenstein</v>
          </cell>
          <cell r="D104" t="str">
            <v>Swiss Franc</v>
          </cell>
          <cell r="E104" t="str">
            <v>CHF</v>
          </cell>
          <cell r="F104">
            <v>1.3464726720647777</v>
          </cell>
          <cell r="G104" t="e">
            <v>#N/A</v>
          </cell>
          <cell r="H104" t="e">
            <v>#N/A</v>
          </cell>
          <cell r="I104">
            <v>0.68</v>
          </cell>
          <cell r="J104">
            <v>9.1999999999999993</v>
          </cell>
          <cell r="K104">
            <v>0</v>
          </cell>
          <cell r="L104">
            <v>0</v>
          </cell>
          <cell r="M104">
            <v>0</v>
          </cell>
          <cell r="N104" t="e">
            <v>#N/A</v>
          </cell>
          <cell r="O104" t="e">
            <v>#N/A</v>
          </cell>
          <cell r="P104" t="e">
            <v>#N/A</v>
          </cell>
          <cell r="Q104" t="e">
            <v>#N/A</v>
          </cell>
          <cell r="R104" t="e">
            <v>#N/A</v>
          </cell>
          <cell r="S104" t="e">
            <v>#N/A</v>
          </cell>
          <cell r="T104" t="e">
            <v>#N/A</v>
          </cell>
          <cell r="U104" t="e">
            <v>#N/A</v>
          </cell>
          <cell r="V104" t="e">
            <v>#N/A</v>
          </cell>
          <cell r="W104" t="e">
            <v>#N/A</v>
          </cell>
          <cell r="X104" t="e">
            <v>#N/A</v>
          </cell>
          <cell r="Y104" t="e">
            <v>#N/A</v>
          </cell>
          <cell r="Z104" t="e">
            <v>#N/A</v>
          </cell>
          <cell r="AA104" t="e">
            <v>#N/A</v>
          </cell>
          <cell r="AB104" t="e">
            <v>#N/A</v>
          </cell>
          <cell r="AC104" t="e">
            <v>#N/A</v>
          </cell>
          <cell r="AD104" t="e">
            <v>#N/A</v>
          </cell>
          <cell r="AE104" t="e">
            <v>#N/A</v>
          </cell>
          <cell r="AF104" t="e">
            <v>#N/A</v>
          </cell>
          <cell r="AG104" t="e">
            <v>#N/A</v>
          </cell>
          <cell r="AH104" t="e">
            <v>#N/A</v>
          </cell>
          <cell r="AI104" t="e">
            <v>#N/A</v>
          </cell>
          <cell r="AJ104" t="e">
            <v>#N/A</v>
          </cell>
          <cell r="AK104" t="e">
            <v>#N/A</v>
          </cell>
          <cell r="AL104" t="e">
            <v>#N/A</v>
          </cell>
          <cell r="AM104" t="e">
            <v>#N/A</v>
          </cell>
          <cell r="AN104" t="e">
            <v>#N/A</v>
          </cell>
          <cell r="AO104" t="e">
            <v>#N/A</v>
          </cell>
          <cell r="AP104" t="e">
            <v>#N/A</v>
          </cell>
          <cell r="AQ104" t="e">
            <v>#N/A</v>
          </cell>
          <cell r="AR104" t="e">
            <v>#N/A</v>
          </cell>
          <cell r="AS104" t="e">
            <v>#N/A</v>
          </cell>
        </row>
        <row r="105">
          <cell r="C105" t="str">
            <v>Lithuania</v>
          </cell>
          <cell r="D105" t="str">
            <v>Lithuanian Litas</v>
          </cell>
          <cell r="E105" t="str">
            <v>LTL</v>
          </cell>
          <cell r="F105">
            <v>1</v>
          </cell>
          <cell r="G105" t="e">
            <v>#N/A</v>
          </cell>
          <cell r="H105" t="e">
            <v>#N/A</v>
          </cell>
          <cell r="I105">
            <v>-1.63</v>
          </cell>
          <cell r="J105">
            <v>10.1</v>
          </cell>
          <cell r="K105">
            <v>10</v>
          </cell>
          <cell r="L105">
            <v>2.5</v>
          </cell>
          <cell r="M105">
            <v>5.2</v>
          </cell>
          <cell r="N105">
            <v>1325.24</v>
          </cell>
          <cell r="O105">
            <v>1553.165</v>
          </cell>
          <cell r="P105">
            <v>2.4781171712293601</v>
          </cell>
          <cell r="Q105">
            <v>5.87825601400501</v>
          </cell>
          <cell r="R105">
            <v>16.152395037879899</v>
          </cell>
          <cell r="S105">
            <v>30.442636805408799</v>
          </cell>
          <cell r="T105">
            <v>6.1282484682019902</v>
          </cell>
          <cell r="U105">
            <v>10.2741390238749</v>
          </cell>
          <cell r="V105">
            <v>83.847604962120101</v>
          </cell>
          <cell r="W105">
            <v>14.290241767528901</v>
          </cell>
          <cell r="X105">
            <v>48.9810147595907</v>
          </cell>
          <cell r="Y105">
            <v>64.471718330264693</v>
          </cell>
          <cell r="Z105">
            <v>70.144653043976902</v>
          </cell>
          <cell r="AA105">
            <v>34.690772992061802</v>
          </cell>
          <cell r="AB105">
            <v>55.854411276447998</v>
          </cell>
          <cell r="AC105">
            <v>59.741933536566997</v>
          </cell>
          <cell r="AD105">
            <v>34.866590202529402</v>
          </cell>
          <cell r="AE105">
            <v>13.7029519181431</v>
          </cell>
          <cell r="AF105">
            <v>1.98736129129874</v>
          </cell>
          <cell r="AG105">
            <v>4.7647867419108696</v>
          </cell>
          <cell r="AH105">
            <v>13.1176661848548</v>
          </cell>
          <cell r="AI105">
            <v>24.506346717831001</v>
          </cell>
          <cell r="AJ105">
            <v>5.0177540699153003</v>
          </cell>
          <cell r="AK105">
            <v>8.3528794429439195</v>
          </cell>
          <cell r="AL105">
            <v>86.882333815145202</v>
          </cell>
          <cell r="AM105">
            <v>11.388680532976201</v>
          </cell>
          <cell r="AN105">
            <v>41.668077763791999</v>
          </cell>
          <cell r="AO105">
            <v>57.108871240338303</v>
          </cell>
          <cell r="AP105">
            <v>63.644686816918998</v>
          </cell>
          <cell r="AQ105">
            <v>30.2793972308158</v>
          </cell>
          <cell r="AR105">
            <v>52.256006283942803</v>
          </cell>
          <cell r="AS105">
            <v>45.214256051353203</v>
          </cell>
        </row>
        <row r="106">
          <cell r="C106" t="str">
            <v>Luxembourg</v>
          </cell>
          <cell r="D106" t="str">
            <v>Euro</v>
          </cell>
          <cell r="E106" t="str">
            <v>EUR</v>
          </cell>
          <cell r="F106">
            <v>1.2617355060728741</v>
          </cell>
          <cell r="G106" t="e">
            <v>#N/A</v>
          </cell>
          <cell r="H106" t="e">
            <v>#N/A</v>
          </cell>
          <cell r="I106">
            <v>2.206</v>
          </cell>
          <cell r="J106">
            <v>11.3</v>
          </cell>
          <cell r="K106">
            <v>10</v>
          </cell>
          <cell r="L106">
            <v>0.9</v>
          </cell>
          <cell r="M106">
            <v>1.9</v>
          </cell>
          <cell r="N106">
            <v>284.61500000000001</v>
          </cell>
          <cell r="O106">
            <v>282.495</v>
          </cell>
          <cell r="P106">
            <v>2.3944626952198602</v>
          </cell>
          <cell r="Q106">
            <v>5.7456564130492103</v>
          </cell>
          <cell r="R106">
            <v>16.799184863763301</v>
          </cell>
          <cell r="S106">
            <v>29.461201974597302</v>
          </cell>
          <cell r="T106">
            <v>6.4979006728387496</v>
          </cell>
          <cell r="U106">
            <v>11.053528450714101</v>
          </cell>
          <cell r="V106">
            <v>83.200815136236699</v>
          </cell>
          <cell r="W106">
            <v>12.662017110833901</v>
          </cell>
          <cell r="X106">
            <v>51.612529206120598</v>
          </cell>
          <cell r="Y106">
            <v>65.716142859652507</v>
          </cell>
          <cell r="Z106">
            <v>70.882420111378494</v>
          </cell>
          <cell r="AA106">
            <v>38.950512095286598</v>
          </cell>
          <cell r="AB106">
            <v>58.2204030005446</v>
          </cell>
          <cell r="AC106">
            <v>62.392354584263003</v>
          </cell>
          <cell r="AD106">
            <v>31.588285930116101</v>
          </cell>
          <cell r="AE106">
            <v>12.3183950248581</v>
          </cell>
          <cell r="AF106">
            <v>2.2457034637781201</v>
          </cell>
          <cell r="AG106">
            <v>5.4620435759925003</v>
          </cell>
          <cell r="AH106">
            <v>16.065417087028099</v>
          </cell>
          <cell r="AI106">
            <v>28.0882847484026</v>
          </cell>
          <cell r="AJ106">
            <v>6.2687835182923601</v>
          </cell>
          <cell r="AK106">
            <v>10.603373511035601</v>
          </cell>
          <cell r="AL106">
            <v>83.934582912971905</v>
          </cell>
          <cell r="AM106">
            <v>12.0228676613745</v>
          </cell>
          <cell r="AN106">
            <v>49.711322324288901</v>
          </cell>
          <cell r="AO106">
            <v>63.183773164126798</v>
          </cell>
          <cell r="AP106">
            <v>68.2776686313032</v>
          </cell>
          <cell r="AQ106">
            <v>37.688454662914403</v>
          </cell>
          <cell r="AR106">
            <v>56.254800969928702</v>
          </cell>
          <cell r="AS106">
            <v>34.223260588682997</v>
          </cell>
        </row>
        <row r="107">
          <cell r="C107" t="str">
            <v>Madagascar</v>
          </cell>
          <cell r="D107" t="str">
            <v>Malagasy Ariary</v>
          </cell>
          <cell r="E107" t="str">
            <v>MGA</v>
          </cell>
          <cell r="F107">
            <v>1</v>
          </cell>
          <cell r="G107" t="e">
            <v>#N/A</v>
          </cell>
          <cell r="H107" t="e">
            <v>#N/A</v>
          </cell>
          <cell r="I107">
            <v>2.79</v>
          </cell>
          <cell r="J107">
            <v>34.686</v>
          </cell>
          <cell r="K107">
            <v>353</v>
          </cell>
          <cell r="L107">
            <v>19.7</v>
          </cell>
          <cell r="M107">
            <v>49.6</v>
          </cell>
          <cell r="N107">
            <v>12082.460999999999</v>
          </cell>
          <cell r="O107">
            <v>12152.929</v>
          </cell>
          <cell r="P107">
            <v>6.5989867461604099</v>
          </cell>
          <cell r="Q107">
            <v>15.787752180619499</v>
          </cell>
          <cell r="R107">
            <v>42.154938468247501</v>
          </cell>
          <cell r="S107">
            <v>62.714706879666302</v>
          </cell>
          <cell r="T107">
            <v>16.473581003075498</v>
          </cell>
          <cell r="U107">
            <v>26.367186287628002</v>
          </cell>
          <cell r="V107">
            <v>57.845061531752499</v>
          </cell>
          <cell r="W107">
            <v>20.559768411418801</v>
          </cell>
          <cell r="X107">
            <v>48.298397156009898</v>
          </cell>
          <cell r="Y107">
            <v>53.496998666083002</v>
          </cell>
          <cell r="Z107">
            <v>55.241014227151297</v>
          </cell>
          <cell r="AA107">
            <v>27.738628744591001</v>
          </cell>
          <cell r="AB107">
            <v>34.681245815732403</v>
          </cell>
          <cell r="AC107">
            <v>35.751466526562801</v>
          </cell>
          <cell r="AD107">
            <v>9.5466643757426599</v>
          </cell>
          <cell r="AE107">
            <v>2.60404730460127</v>
          </cell>
          <cell r="AF107">
            <v>6.3889536423688504</v>
          </cell>
          <cell r="AG107">
            <v>15.3261900896483</v>
          </cell>
          <cell r="AH107">
            <v>41.2663153055531</v>
          </cell>
          <cell r="AI107">
            <v>61.792864913470702</v>
          </cell>
          <cell r="AJ107">
            <v>16.1531347710498</v>
          </cell>
          <cell r="AK107">
            <v>25.9401252159047</v>
          </cell>
          <cell r="AL107">
            <v>58.7336846944469</v>
          </cell>
          <cell r="AM107">
            <v>20.526549607917602</v>
          </cell>
          <cell r="AN107">
            <v>48.276394933270801</v>
          </cell>
          <cell r="AO107">
            <v>53.771415927798202</v>
          </cell>
          <cell r="AP107">
            <v>55.663453641504901</v>
          </cell>
          <cell r="AQ107">
            <v>27.749845325353299</v>
          </cell>
          <cell r="AR107">
            <v>35.1369040335873</v>
          </cell>
          <cell r="AS107">
            <v>10.457289761176099</v>
          </cell>
        </row>
        <row r="108">
          <cell r="C108" t="str">
            <v>Malawi</v>
          </cell>
          <cell r="D108" t="str">
            <v>Kwacha</v>
          </cell>
          <cell r="E108" t="str">
            <v>MWK</v>
          </cell>
          <cell r="F108">
            <v>665</v>
          </cell>
          <cell r="G108" t="e">
            <v>#N/A</v>
          </cell>
          <cell r="H108" t="e">
            <v>#N/A</v>
          </cell>
          <cell r="I108">
            <v>3.0640000000000001</v>
          </cell>
          <cell r="J108">
            <v>39.459000000000003</v>
          </cell>
          <cell r="K108">
            <v>634</v>
          </cell>
          <cell r="L108">
            <v>21.8</v>
          </cell>
          <cell r="M108">
            <v>64</v>
          </cell>
          <cell r="N108">
            <v>8593.0609999999997</v>
          </cell>
          <cell r="O108">
            <v>8622.1710000000003</v>
          </cell>
          <cell r="P108">
            <v>7.1483607529377498</v>
          </cell>
          <cell r="Q108">
            <v>17.381128796828001</v>
          </cell>
          <cell r="R108">
            <v>45.541524725589603</v>
          </cell>
          <cell r="S108">
            <v>66.159811969215596</v>
          </cell>
          <cell r="T108">
            <v>18.038705881408301</v>
          </cell>
          <cell r="U108">
            <v>28.160395928761599</v>
          </cell>
          <cell r="V108">
            <v>54.458475274410397</v>
          </cell>
          <cell r="W108">
            <v>20.618287243626</v>
          </cell>
          <cell r="X108">
            <v>46.599983405214999</v>
          </cell>
          <cell r="Y108">
            <v>50.127248020233999</v>
          </cell>
          <cell r="Z108">
            <v>51.489614701908899</v>
          </cell>
          <cell r="AA108">
            <v>25.981696161588999</v>
          </cell>
          <cell r="AB108">
            <v>30.871327458282899</v>
          </cell>
          <cell r="AC108">
            <v>32.134311626555402</v>
          </cell>
          <cell r="AD108">
            <v>7.8584918691953902</v>
          </cell>
          <cell r="AE108">
            <v>2.9688605725014598</v>
          </cell>
          <cell r="AF108">
            <v>6.9202756475138401</v>
          </cell>
          <cell r="AG108">
            <v>16.933368637666799</v>
          </cell>
          <cell r="AH108">
            <v>44.773735060462201</v>
          </cell>
          <cell r="AI108">
            <v>65.376771117158299</v>
          </cell>
          <cell r="AJ108">
            <v>17.814376448808499</v>
          </cell>
          <cell r="AK108">
            <v>27.840366422795402</v>
          </cell>
          <cell r="AL108">
            <v>55.226264939537899</v>
          </cell>
          <cell r="AM108">
            <v>20.603036056696201</v>
          </cell>
          <cell r="AN108">
            <v>45.935785778315001</v>
          </cell>
          <cell r="AO108">
            <v>49.691533605631399</v>
          </cell>
          <cell r="AP108">
            <v>51.313932419108902</v>
          </cell>
          <cell r="AQ108">
            <v>25.3327497216188</v>
          </cell>
          <cell r="AR108">
            <v>30.710896362412701</v>
          </cell>
          <cell r="AS108">
            <v>9.2904791612228603</v>
          </cell>
        </row>
        <row r="109">
          <cell r="C109" t="str">
            <v>Malaysia</v>
          </cell>
          <cell r="D109" t="str">
            <v>Malaysian Ringgit</v>
          </cell>
          <cell r="E109" t="str">
            <v>MYR</v>
          </cell>
          <cell r="F109">
            <v>5.4657249572649604</v>
          </cell>
          <cell r="G109" t="e">
            <v>#N/A</v>
          </cell>
          <cell r="H109" t="e">
            <v>#N/A</v>
          </cell>
          <cell r="I109">
            <v>1.514</v>
          </cell>
          <cell r="J109">
            <v>16.805</v>
          </cell>
          <cell r="K109">
            <v>40</v>
          </cell>
          <cell r="L109">
            <v>3.9</v>
          </cell>
          <cell r="M109">
            <v>7</v>
          </cell>
          <cell r="N109">
            <v>15025.675999999999</v>
          </cell>
          <cell r="O109">
            <v>15305.331</v>
          </cell>
          <cell r="P109">
            <v>3.7005389973802201</v>
          </cell>
          <cell r="Q109">
            <v>8.4706338669887504</v>
          </cell>
          <cell r="R109">
            <v>24.506258487139</v>
          </cell>
          <cell r="S109">
            <v>43.070940701769402</v>
          </cell>
          <cell r="T109">
            <v>9.1802724882394706</v>
          </cell>
          <cell r="U109">
            <v>16.035624620150202</v>
          </cell>
          <cell r="V109">
            <v>75.493741512861106</v>
          </cell>
          <cell r="W109">
            <v>18.564682214630501</v>
          </cell>
          <cell r="X109">
            <v>57.188029343904397</v>
          </cell>
          <cell r="Y109">
            <v>66.424412452391493</v>
          </cell>
          <cell r="Z109">
            <v>69.643708542630606</v>
          </cell>
          <cell r="AA109">
            <v>38.623347129273903</v>
          </cell>
          <cell r="AB109">
            <v>51.079026328000097</v>
          </cell>
          <cell r="AC109">
            <v>53.505279895560101</v>
          </cell>
          <cell r="AD109">
            <v>18.305712168956699</v>
          </cell>
          <cell r="AE109">
            <v>5.8500329702304201</v>
          </cell>
          <cell r="AF109">
            <v>3.30165352190031</v>
          </cell>
          <cell r="AG109">
            <v>7.8659063302845302</v>
          </cell>
          <cell r="AH109">
            <v>24.5034818260383</v>
          </cell>
          <cell r="AI109">
            <v>43.411775936110097</v>
          </cell>
          <cell r="AJ109">
            <v>9.4682957199684203</v>
          </cell>
          <cell r="AK109">
            <v>16.637575495753701</v>
          </cell>
          <cell r="AL109">
            <v>75.496518173961704</v>
          </cell>
          <cell r="AM109">
            <v>18.9082941100718</v>
          </cell>
          <cell r="AN109">
            <v>56.294019384487697</v>
          </cell>
          <cell r="AO109">
            <v>66.204063146363794</v>
          </cell>
          <cell r="AP109">
            <v>69.635788994044006</v>
          </cell>
          <cell r="AQ109">
            <v>37.385725274415798</v>
          </cell>
          <cell r="AR109">
            <v>50.727494883972099</v>
          </cell>
          <cell r="AS109">
            <v>19.202498789474099</v>
          </cell>
        </row>
        <row r="110">
          <cell r="C110" t="str">
            <v>Maldives</v>
          </cell>
          <cell r="D110" t="str">
            <v>Rufiyaa</v>
          </cell>
          <cell r="E110" t="str">
            <v>MVR</v>
          </cell>
          <cell r="F110">
            <v>1</v>
          </cell>
          <cell r="G110" t="e">
            <v>#N/A</v>
          </cell>
          <cell r="H110" t="e">
            <v>#N/A</v>
          </cell>
          <cell r="I110">
            <v>1.7869999999999999</v>
          </cell>
          <cell r="J110">
            <v>21.446999999999999</v>
          </cell>
          <cell r="K110">
            <v>68</v>
          </cell>
          <cell r="L110">
            <v>4.9000000000000004</v>
          </cell>
          <cell r="M110">
            <v>8.6</v>
          </cell>
          <cell r="N110">
            <v>182.36699999999999</v>
          </cell>
          <cell r="O110">
            <v>181.29</v>
          </cell>
          <cell r="P110">
            <v>4.4772354647496497</v>
          </cell>
          <cell r="Q110">
            <v>10.740430012008799</v>
          </cell>
          <cell r="R110">
            <v>28.351620633118898</v>
          </cell>
          <cell r="S110">
            <v>48.2017031590145</v>
          </cell>
          <cell r="T110">
            <v>10.944414285479301</v>
          </cell>
          <cell r="U110">
            <v>17.6111906211102</v>
          </cell>
          <cell r="V110">
            <v>71.648379366881102</v>
          </cell>
          <cell r="W110">
            <v>19.850082525895601</v>
          </cell>
          <cell r="X110">
            <v>57.255424501143303</v>
          </cell>
          <cell r="Y110">
            <v>64.738686275477505</v>
          </cell>
          <cell r="Z110">
            <v>66.793882665175204</v>
          </cell>
          <cell r="AA110">
            <v>37.405341975247701</v>
          </cell>
          <cell r="AB110">
            <v>46.943800139279602</v>
          </cell>
          <cell r="AC110">
            <v>48.332209226449997</v>
          </cell>
          <cell r="AD110">
            <v>14.392954865737799</v>
          </cell>
          <cell r="AE110">
            <v>4.8544967017058998</v>
          </cell>
          <cell r="AF110">
            <v>4.0162171107065996</v>
          </cell>
          <cell r="AG110">
            <v>9.8058359534447597</v>
          </cell>
          <cell r="AH110">
            <v>26.600474378068299</v>
          </cell>
          <cell r="AI110">
            <v>45.7305973854046</v>
          </cell>
          <cell r="AJ110">
            <v>10.402669755640099</v>
          </cell>
          <cell r="AK110">
            <v>16.7946384246235</v>
          </cell>
          <cell r="AL110">
            <v>73.399525621931701</v>
          </cell>
          <cell r="AM110">
            <v>19.130123007336302</v>
          </cell>
          <cell r="AN110">
            <v>58.873076286612601</v>
          </cell>
          <cell r="AO110">
            <v>66.749958629819602</v>
          </cell>
          <cell r="AP110">
            <v>68.852666997628106</v>
          </cell>
          <cell r="AQ110">
            <v>39.7429532792763</v>
          </cell>
          <cell r="AR110">
            <v>49.722543990291797</v>
          </cell>
          <cell r="AS110">
            <v>14.5264493353191</v>
          </cell>
        </row>
        <row r="111">
          <cell r="C111" t="str">
            <v>Mali</v>
          </cell>
          <cell r="D111" t="str">
            <v>CFA Franc BCEAO</v>
          </cell>
          <cell r="E111" t="str">
            <v>XOF</v>
          </cell>
          <cell r="F111">
            <v>1</v>
          </cell>
          <cell r="G111" t="e">
            <v>#N/A</v>
          </cell>
          <cell r="H111" t="e">
            <v>#N/A</v>
          </cell>
          <cell r="I111">
            <v>2.9750000000000001</v>
          </cell>
          <cell r="J111">
            <v>44.137999999999998</v>
          </cell>
          <cell r="K111">
            <v>587</v>
          </cell>
          <cell r="L111">
            <v>37.799999999999997</v>
          </cell>
          <cell r="M111">
            <v>114.7</v>
          </cell>
          <cell r="N111">
            <v>8884.69</v>
          </cell>
          <cell r="O111">
            <v>8715.0040000000008</v>
          </cell>
          <cell r="P111">
            <v>7.73231255114134</v>
          </cell>
          <cell r="Q111">
            <v>18.698176301030198</v>
          </cell>
          <cell r="R111">
            <v>47.9939086225856</v>
          </cell>
          <cell r="S111">
            <v>67.453518355733294</v>
          </cell>
          <cell r="T111">
            <v>18.983352261024301</v>
          </cell>
          <cell r="U111">
            <v>29.295732321555398</v>
          </cell>
          <cell r="V111">
            <v>52.0060913774144</v>
          </cell>
          <cell r="W111">
            <v>19.459609733147701</v>
          </cell>
          <cell r="X111">
            <v>44.713805433841799</v>
          </cell>
          <cell r="Y111">
            <v>48.463750564172699</v>
          </cell>
          <cell r="Z111">
            <v>49.8032345529219</v>
          </cell>
          <cell r="AA111">
            <v>25.254195700694101</v>
          </cell>
          <cell r="AB111">
            <v>30.343624819774199</v>
          </cell>
          <cell r="AC111">
            <v>31.250679539747601</v>
          </cell>
          <cell r="AD111">
            <v>7.2922859435725904</v>
          </cell>
          <cell r="AE111">
            <v>2.20285682449247</v>
          </cell>
          <cell r="AF111">
            <v>7.6858943495608303</v>
          </cell>
          <cell r="AG111">
            <v>18.473669088390501</v>
          </cell>
          <cell r="AH111">
            <v>47.049353046768502</v>
          </cell>
          <cell r="AI111">
            <v>66.023767745832302</v>
          </cell>
          <cell r="AJ111">
            <v>18.519980025252998</v>
          </cell>
          <cell r="AK111">
            <v>28.575683958378001</v>
          </cell>
          <cell r="AL111">
            <v>52.950646953231399</v>
          </cell>
          <cell r="AM111">
            <v>18.9744146990638</v>
          </cell>
          <cell r="AN111">
            <v>44.126600515616502</v>
          </cell>
          <cell r="AO111">
            <v>48.466369034368803</v>
          </cell>
          <cell r="AP111">
            <v>50.108020604465601</v>
          </cell>
          <cell r="AQ111">
            <v>25.152185816552699</v>
          </cell>
          <cell r="AR111">
            <v>31.133605905401801</v>
          </cell>
          <cell r="AS111">
            <v>8.8240464376149408</v>
          </cell>
        </row>
        <row r="112">
          <cell r="C112" t="str">
            <v>Malta</v>
          </cell>
          <cell r="D112" t="str">
            <v>Maltese Lira</v>
          </cell>
          <cell r="E112" t="str">
            <v>MTL</v>
          </cell>
          <cell r="F112">
            <v>1</v>
          </cell>
          <cell r="G112" t="e">
            <v>#N/A</v>
          </cell>
          <cell r="H112" t="e">
            <v>#N/A</v>
          </cell>
          <cell r="I112">
            <v>0.318</v>
          </cell>
          <cell r="J112">
            <v>9.5</v>
          </cell>
          <cell r="K112">
            <v>9</v>
          </cell>
          <cell r="L112">
            <v>4.4000000000000004</v>
          </cell>
          <cell r="M112">
            <v>6.4</v>
          </cell>
          <cell r="N112">
            <v>208.49600000000001</v>
          </cell>
          <cell r="O112">
            <v>210.17400000000001</v>
          </cell>
          <cell r="P112">
            <v>1.7760532576164501</v>
          </cell>
          <cell r="Q112">
            <v>4.59529199600951</v>
          </cell>
          <cell r="R112">
            <v>14.584932085028001</v>
          </cell>
          <cell r="S112">
            <v>27.110831862481799</v>
          </cell>
          <cell r="T112">
            <v>5.86581996776916</v>
          </cell>
          <cell r="U112">
            <v>9.98964008901849</v>
          </cell>
          <cell r="V112">
            <v>85.415067914971999</v>
          </cell>
          <cell r="W112">
            <v>12.5258997774538</v>
          </cell>
          <cell r="X112">
            <v>48.0421686746988</v>
          </cell>
          <cell r="Y112">
            <v>61.698545775458498</v>
          </cell>
          <cell r="Z112">
            <v>67.998906453840803</v>
          </cell>
          <cell r="AA112">
            <v>35.516268897244998</v>
          </cell>
          <cell r="AB112">
            <v>55.473006676387101</v>
          </cell>
          <cell r="AC112">
            <v>62.280331517151403</v>
          </cell>
          <cell r="AD112">
            <v>37.372899240273199</v>
          </cell>
          <cell r="AE112">
            <v>17.4161614611311</v>
          </cell>
          <cell r="AF112">
            <v>1.7509301816590099</v>
          </cell>
          <cell r="AG112">
            <v>4.3059560173951104</v>
          </cell>
          <cell r="AH112">
            <v>14.280548497911299</v>
          </cell>
          <cell r="AI112">
            <v>27.7845975239563</v>
          </cell>
          <cell r="AJ112">
            <v>5.54635682815191</v>
          </cell>
          <cell r="AK112">
            <v>9.9745924805161401</v>
          </cell>
          <cell r="AL112">
            <v>85.719451502088702</v>
          </cell>
          <cell r="AM112">
            <v>13.5040490260451</v>
          </cell>
          <cell r="AN112">
            <v>45.029356628317501</v>
          </cell>
          <cell r="AO112">
            <v>58.343562952601197</v>
          </cell>
          <cell r="AP112">
            <v>64.654048550248802</v>
          </cell>
          <cell r="AQ112">
            <v>31.525307602272399</v>
          </cell>
          <cell r="AR112">
            <v>51.1499995242037</v>
          </cell>
          <cell r="AS112">
            <v>40.690094873771301</v>
          </cell>
        </row>
        <row r="113">
          <cell r="C113" t="str">
            <v>Marshall Islands</v>
          </cell>
          <cell r="D113" t="str">
            <v>US Dollar</v>
          </cell>
          <cell r="E113" t="str">
            <v>USD</v>
          </cell>
          <cell r="F113">
            <v>1.3988592400000002</v>
          </cell>
          <cell r="G113" t="e">
            <v>#N/A</v>
          </cell>
          <cell r="H113" t="e">
            <v>#N/A</v>
          </cell>
          <cell r="I113">
            <v>0.214</v>
          </cell>
          <cell r="J113">
            <v>0</v>
          </cell>
          <cell r="K113">
            <v>0</v>
          </cell>
          <cell r="L113">
            <v>16.7</v>
          </cell>
          <cell r="M113">
            <v>36</v>
          </cell>
          <cell r="N113" t="e">
            <v>#N/A</v>
          </cell>
          <cell r="O113" t="e">
            <v>#N/A</v>
          </cell>
          <cell r="P113" t="e">
            <v>#N/A</v>
          </cell>
          <cell r="Q113" t="e">
            <v>#N/A</v>
          </cell>
          <cell r="R113" t="e">
            <v>#N/A</v>
          </cell>
          <cell r="S113" t="e">
            <v>#N/A</v>
          </cell>
          <cell r="T113" t="e">
            <v>#N/A</v>
          </cell>
          <cell r="U113" t="e">
            <v>#N/A</v>
          </cell>
          <cell r="V113" t="e">
            <v>#N/A</v>
          </cell>
          <cell r="W113" t="e">
            <v>#N/A</v>
          </cell>
          <cell r="X113" t="e">
            <v>#N/A</v>
          </cell>
          <cell r="Y113" t="e">
            <v>#N/A</v>
          </cell>
          <cell r="Z113" t="e">
            <v>#N/A</v>
          </cell>
          <cell r="AA113" t="e">
            <v>#N/A</v>
          </cell>
          <cell r="AB113" t="e">
            <v>#N/A</v>
          </cell>
          <cell r="AC113" t="e">
            <v>#N/A</v>
          </cell>
          <cell r="AD113" t="e">
            <v>#N/A</v>
          </cell>
          <cell r="AE113" t="e">
            <v>#N/A</v>
          </cell>
          <cell r="AF113" t="e">
            <v>#N/A</v>
          </cell>
          <cell r="AG113" t="e">
            <v>#N/A</v>
          </cell>
          <cell r="AH113" t="e">
            <v>#N/A</v>
          </cell>
          <cell r="AI113" t="e">
            <v>#N/A</v>
          </cell>
          <cell r="AJ113" t="e">
            <v>#N/A</v>
          </cell>
          <cell r="AK113" t="e">
            <v>#N/A</v>
          </cell>
          <cell r="AL113" t="e">
            <v>#N/A</v>
          </cell>
          <cell r="AM113" t="e">
            <v>#N/A</v>
          </cell>
          <cell r="AN113" t="e">
            <v>#N/A</v>
          </cell>
          <cell r="AO113" t="e">
            <v>#N/A</v>
          </cell>
          <cell r="AP113" t="e">
            <v>#N/A</v>
          </cell>
          <cell r="AQ113" t="e">
            <v>#N/A</v>
          </cell>
          <cell r="AR113" t="e">
            <v>#N/A</v>
          </cell>
          <cell r="AS113" t="e">
            <v>#N/A</v>
          </cell>
        </row>
        <row r="114">
          <cell r="C114" t="str">
            <v>Mauritania</v>
          </cell>
          <cell r="D114" t="str">
            <v>Ouguiya</v>
          </cell>
          <cell r="E114" t="str">
            <v>MRO</v>
          </cell>
          <cell r="F114">
            <v>1</v>
          </cell>
          <cell r="G114" t="e">
            <v>#N/A</v>
          </cell>
          <cell r="H114" t="e">
            <v>#N/A</v>
          </cell>
          <cell r="I114">
            <v>2.4900000000000002</v>
          </cell>
          <cell r="J114">
            <v>33.801000000000002</v>
          </cell>
          <cell r="K114">
            <v>602</v>
          </cell>
          <cell r="L114">
            <v>35.700000000000003</v>
          </cell>
          <cell r="M114">
            <v>84.7</v>
          </cell>
          <cell r="N114">
            <v>2046.7809999999999</v>
          </cell>
          <cell r="O114">
            <v>2020.7829999999999</v>
          </cell>
          <cell r="P114">
            <v>6.1496076033537603</v>
          </cell>
          <cell r="Q114">
            <v>14.924410574458101</v>
          </cell>
          <cell r="R114">
            <v>40.373835793863599</v>
          </cell>
          <cell r="S114">
            <v>60.065927913147497</v>
          </cell>
          <cell r="T114">
            <v>15.966095053647701</v>
          </cell>
          <cell r="U114">
            <v>25.449425219405502</v>
          </cell>
          <cell r="V114">
            <v>59.626164206136401</v>
          </cell>
          <cell r="W114">
            <v>19.692092119283899</v>
          </cell>
          <cell r="X114">
            <v>49.400741945523201</v>
          </cell>
          <cell r="Y114">
            <v>55.122604714427197</v>
          </cell>
          <cell r="Z114">
            <v>56.9088241487487</v>
          </cell>
          <cell r="AA114">
            <v>29.708649826239299</v>
          </cell>
          <cell r="AB114">
            <v>37.216732029464801</v>
          </cell>
          <cell r="AC114">
            <v>38.3918943941731</v>
          </cell>
          <cell r="AD114">
            <v>10.225422260613099</v>
          </cell>
          <cell r="AE114">
            <v>2.7173400573876698</v>
          </cell>
          <cell r="AF114">
            <v>6.0206365552362602</v>
          </cell>
          <cell r="AG114">
            <v>14.6285870377967</v>
          </cell>
          <cell r="AH114">
            <v>39.654381494697901</v>
          </cell>
          <cell r="AI114">
            <v>58.995745708470402</v>
          </cell>
          <cell r="AJ114">
            <v>15.6947084372741</v>
          </cell>
          <cell r="AK114">
            <v>25.025794456901099</v>
          </cell>
          <cell r="AL114">
            <v>60.345618505302099</v>
          </cell>
          <cell r="AM114">
            <v>19.3413642137726</v>
          </cell>
          <cell r="AN114">
            <v>48.718541278306503</v>
          </cell>
          <cell r="AO114">
            <v>54.670887472826102</v>
          </cell>
          <cell r="AP114">
            <v>56.636709631860498</v>
          </cell>
          <cell r="AQ114">
            <v>29.3771770645339</v>
          </cell>
          <cell r="AR114">
            <v>37.295345418087898</v>
          </cell>
          <cell r="AS114">
            <v>11.6270772269957</v>
          </cell>
        </row>
        <row r="115">
          <cell r="C115" t="str">
            <v>Mauritius</v>
          </cell>
          <cell r="D115" t="str">
            <v>Mauritius Rupee</v>
          </cell>
          <cell r="E115" t="str">
            <v>MUR</v>
          </cell>
          <cell r="F115">
            <v>49.106557758620674</v>
          </cell>
          <cell r="G115" t="e">
            <v>#N/A</v>
          </cell>
          <cell r="H115" t="e">
            <v>#N/A</v>
          </cell>
          <cell r="I115">
            <v>0.40100000000000002</v>
          </cell>
          <cell r="J115">
            <v>10.9</v>
          </cell>
          <cell r="K115">
            <v>53</v>
          </cell>
          <cell r="L115">
            <v>8.4</v>
          </cell>
          <cell r="M115">
            <v>13.5</v>
          </cell>
          <cell r="N115">
            <v>628.84100000000001</v>
          </cell>
          <cell r="O115">
            <v>644.37099999999998</v>
          </cell>
          <cell r="P115">
            <v>2.2651194817131799</v>
          </cell>
          <cell r="Q115">
            <v>5.7233863568056096</v>
          </cell>
          <cell r="R115">
            <v>19.936200088734701</v>
          </cell>
          <cell r="S115">
            <v>36.217263187355798</v>
          </cell>
          <cell r="T115">
            <v>7.99407163336996</v>
          </cell>
          <cell r="U115">
            <v>14.212813731929099</v>
          </cell>
          <cell r="V115">
            <v>80.063799911265306</v>
          </cell>
          <cell r="W115">
            <v>16.2810630986211</v>
          </cell>
          <cell r="X115">
            <v>53.1663806908265</v>
          </cell>
          <cell r="Y115">
            <v>66.873343182139806</v>
          </cell>
          <cell r="Z115">
            <v>71.8723810947441</v>
          </cell>
          <cell r="AA115">
            <v>36.885317592205297</v>
          </cell>
          <cell r="AB115">
            <v>55.591317996123003</v>
          </cell>
          <cell r="AC115">
            <v>59.244228668296103</v>
          </cell>
          <cell r="AD115">
            <v>26.897419220438898</v>
          </cell>
          <cell r="AE115">
            <v>8.1914188165211907</v>
          </cell>
          <cell r="AF115">
            <v>2.1236213299481199</v>
          </cell>
          <cell r="AG115">
            <v>5.3746987372181501</v>
          </cell>
          <cell r="AH115">
            <v>18.722909628149001</v>
          </cell>
          <cell r="AI115">
            <v>34.285372867493997</v>
          </cell>
          <cell r="AJ115">
            <v>7.5062347622720402</v>
          </cell>
          <cell r="AK115">
            <v>13.348210890930799</v>
          </cell>
          <cell r="AL115">
            <v>81.277090371851003</v>
          </cell>
          <cell r="AM115">
            <v>15.562463239345</v>
          </cell>
          <cell r="AN115">
            <v>51.3118995113064</v>
          </cell>
          <cell r="AO115">
            <v>65.0469993218193</v>
          </cell>
          <cell r="AP115">
            <v>70.375451409203706</v>
          </cell>
          <cell r="AQ115">
            <v>35.749436271961301</v>
          </cell>
          <cell r="AR115">
            <v>54.812988169858599</v>
          </cell>
          <cell r="AS115">
            <v>29.965190860544599</v>
          </cell>
        </row>
        <row r="116">
          <cell r="C116" t="str">
            <v>Mexico</v>
          </cell>
          <cell r="D116" t="str">
            <v>Mexican Peso</v>
          </cell>
          <cell r="E116" t="str">
            <v>MXN</v>
          </cell>
          <cell r="F116">
            <v>22.222761087866115</v>
          </cell>
          <cell r="G116" t="e">
            <v>#N/A</v>
          </cell>
          <cell r="H116" t="e">
            <v>#N/A</v>
          </cell>
          <cell r="I116">
            <v>1.3680000000000001</v>
          </cell>
          <cell r="J116">
            <v>19.103999999999999</v>
          </cell>
          <cell r="K116">
            <v>38</v>
          </cell>
          <cell r="L116">
            <v>7</v>
          </cell>
          <cell r="M116">
            <v>13.2</v>
          </cell>
          <cell r="N116">
            <v>63181.447</v>
          </cell>
          <cell r="O116">
            <v>63835.777000000002</v>
          </cell>
          <cell r="P116">
            <v>3.7790872374290498</v>
          </cell>
          <cell r="Q116">
            <v>9.3931894279027794</v>
          </cell>
          <cell r="R116">
            <v>28.323757763889098</v>
          </cell>
          <cell r="S116">
            <v>47.020963290061999</v>
          </cell>
          <cell r="T116">
            <v>11.285493350603399</v>
          </cell>
          <cell r="U116">
            <v>18.930568335986401</v>
          </cell>
          <cell r="V116">
            <v>71.676242236110895</v>
          </cell>
          <cell r="W116">
            <v>18.697205526172901</v>
          </cell>
          <cell r="X116">
            <v>54.454691422309502</v>
          </cell>
          <cell r="Y116">
            <v>62.661075172906401</v>
          </cell>
          <cell r="Z116">
            <v>65.674024528118196</v>
          </cell>
          <cell r="AA116">
            <v>35.7574858961366</v>
          </cell>
          <cell r="AB116">
            <v>46.976819001945302</v>
          </cell>
          <cell r="AC116">
            <v>49.105945610900598</v>
          </cell>
          <cell r="AD116">
            <v>17.2215508138014</v>
          </cell>
          <cell r="AE116">
            <v>6.00221770799266</v>
          </cell>
          <cell r="AF116">
            <v>3.5913246579578701</v>
          </cell>
          <cell r="AG116">
            <v>8.9012091135038602</v>
          </cell>
          <cell r="AH116">
            <v>26.8944779978162</v>
          </cell>
          <cell r="AI116">
            <v>44.852158688379397</v>
          </cell>
          <cell r="AJ116">
            <v>10.6915719064562</v>
          </cell>
          <cell r="AK116">
            <v>17.9932688843123</v>
          </cell>
          <cell r="AL116">
            <v>73.105522002183804</v>
          </cell>
          <cell r="AM116">
            <v>17.957680690563201</v>
          </cell>
          <cell r="AN116">
            <v>54.089348673550298</v>
          </cell>
          <cell r="AO116">
            <v>62.9530584393137</v>
          </cell>
          <cell r="AP116">
            <v>66.1785255625541</v>
          </cell>
          <cell r="AQ116">
            <v>36.131667982986997</v>
          </cell>
          <cell r="AR116">
            <v>48.220844871990799</v>
          </cell>
          <cell r="AS116">
            <v>19.016173328633599</v>
          </cell>
        </row>
        <row r="117">
          <cell r="C117" t="str">
            <v>Micronesia (Federated States of)</v>
          </cell>
          <cell r="D117" t="str">
            <v>US Dollar</v>
          </cell>
          <cell r="E117" t="str">
            <v>USD</v>
          </cell>
          <cell r="F117">
            <v>1.3988592400000002</v>
          </cell>
          <cell r="G117" t="e">
            <v>#N/A</v>
          </cell>
          <cell r="H117" t="e">
            <v>#N/A</v>
          </cell>
          <cell r="I117">
            <v>0.16200000000000001</v>
          </cell>
          <cell r="J117">
            <v>23.510999999999999</v>
          </cell>
          <cell r="K117">
            <v>100</v>
          </cell>
          <cell r="L117">
            <v>18.8</v>
          </cell>
          <cell r="M117">
            <v>34.700000000000003</v>
          </cell>
          <cell r="N117">
            <v>53.51</v>
          </cell>
          <cell r="O117">
            <v>50.95</v>
          </cell>
          <cell r="P117">
            <v>4.57858344234723</v>
          </cell>
          <cell r="Q117">
            <v>11.1810876471688</v>
          </cell>
          <cell r="R117">
            <v>34.429078676882803</v>
          </cell>
          <cell r="S117">
            <v>58.404036628667498</v>
          </cell>
          <cell r="T117">
            <v>13.532050084096401</v>
          </cell>
          <cell r="U117">
            <v>23.2479910297141</v>
          </cell>
          <cell r="V117">
            <v>65.570921323117204</v>
          </cell>
          <cell r="W117">
            <v>23.974957951784699</v>
          </cell>
          <cell r="X117">
            <v>51.668846944496401</v>
          </cell>
          <cell r="Y117">
            <v>58.553541394131997</v>
          </cell>
          <cell r="Z117">
            <v>61.717435993272296</v>
          </cell>
          <cell r="AA117">
            <v>27.693888992711599</v>
          </cell>
          <cell r="AB117">
            <v>37.742478041487601</v>
          </cell>
          <cell r="AC117">
            <v>39.609418800224297</v>
          </cell>
          <cell r="AD117">
            <v>13.902074378620799</v>
          </cell>
          <cell r="AE117">
            <v>3.8534853298448901</v>
          </cell>
          <cell r="AF117">
            <v>4.4985279685966599</v>
          </cell>
          <cell r="AG117">
            <v>10.9656526005888</v>
          </cell>
          <cell r="AH117">
            <v>33.689892051030398</v>
          </cell>
          <cell r="AI117">
            <v>57.2561334641806</v>
          </cell>
          <cell r="AJ117">
            <v>13.209028459273799</v>
          </cell>
          <cell r="AK117">
            <v>22.724239450441601</v>
          </cell>
          <cell r="AL117">
            <v>66.310107948969602</v>
          </cell>
          <cell r="AM117">
            <v>23.566241413150198</v>
          </cell>
          <cell r="AN117">
            <v>50.694798822374899</v>
          </cell>
          <cell r="AO117">
            <v>58.245338567222802</v>
          </cell>
          <cell r="AP117">
            <v>61.424926398429903</v>
          </cell>
          <cell r="AQ117">
            <v>27.128557409224701</v>
          </cell>
          <cell r="AR117">
            <v>37.858684985279702</v>
          </cell>
          <cell r="AS117">
            <v>15.615309126594701</v>
          </cell>
        </row>
        <row r="118">
          <cell r="C118" t="str">
            <v>Monaco</v>
          </cell>
          <cell r="D118" t="str">
            <v>Euro</v>
          </cell>
          <cell r="E118" t="str">
            <v>EUR</v>
          </cell>
          <cell r="F118">
            <v>1.2617355060728741</v>
          </cell>
          <cell r="G118" t="e">
            <v>#N/A</v>
          </cell>
          <cell r="H118" t="e">
            <v>#N/A</v>
          </cell>
          <cell r="I118">
            <v>0.47499999999999998</v>
          </cell>
          <cell r="J118">
            <v>0</v>
          </cell>
          <cell r="K118">
            <v>0</v>
          </cell>
          <cell r="L118">
            <v>1.9</v>
          </cell>
          <cell r="M118">
            <v>3.5</v>
          </cell>
          <cell r="N118" t="e">
            <v>#N/A</v>
          </cell>
          <cell r="O118" t="e">
            <v>#N/A</v>
          </cell>
          <cell r="P118" t="e">
            <v>#N/A</v>
          </cell>
          <cell r="Q118" t="e">
            <v>#N/A</v>
          </cell>
          <cell r="R118" t="e">
            <v>#N/A</v>
          </cell>
          <cell r="S118" t="e">
            <v>#N/A</v>
          </cell>
          <cell r="T118" t="e">
            <v>#N/A</v>
          </cell>
          <cell r="U118" t="e">
            <v>#N/A</v>
          </cell>
          <cell r="V118" t="e">
            <v>#N/A</v>
          </cell>
          <cell r="W118" t="e">
            <v>#N/A</v>
          </cell>
          <cell r="X118" t="e">
            <v>#N/A</v>
          </cell>
          <cell r="Y118" t="e">
            <v>#N/A</v>
          </cell>
          <cell r="Z118" t="e">
            <v>#N/A</v>
          </cell>
          <cell r="AA118" t="e">
            <v>#N/A</v>
          </cell>
          <cell r="AB118" t="e">
            <v>#N/A</v>
          </cell>
          <cell r="AC118" t="e">
            <v>#N/A</v>
          </cell>
          <cell r="AD118" t="e">
            <v>#N/A</v>
          </cell>
          <cell r="AE118" t="e">
            <v>#N/A</v>
          </cell>
          <cell r="AF118" t="e">
            <v>#N/A</v>
          </cell>
          <cell r="AG118" t="e">
            <v>#N/A</v>
          </cell>
          <cell r="AH118" t="e">
            <v>#N/A</v>
          </cell>
          <cell r="AI118" t="e">
            <v>#N/A</v>
          </cell>
          <cell r="AJ118" t="e">
            <v>#N/A</v>
          </cell>
          <cell r="AK118" t="e">
            <v>#N/A</v>
          </cell>
          <cell r="AL118" t="e">
            <v>#N/A</v>
          </cell>
          <cell r="AM118" t="e">
            <v>#N/A</v>
          </cell>
          <cell r="AN118" t="e">
            <v>#N/A</v>
          </cell>
          <cell r="AO118" t="e">
            <v>#N/A</v>
          </cell>
          <cell r="AP118" t="e">
            <v>#N/A</v>
          </cell>
          <cell r="AQ118" t="e">
            <v>#N/A</v>
          </cell>
          <cell r="AR118" t="e">
            <v>#N/A</v>
          </cell>
          <cell r="AS118" t="e">
            <v>#N/A</v>
          </cell>
        </row>
        <row r="119">
          <cell r="C119" t="str">
            <v>Mongolia</v>
          </cell>
          <cell r="D119" t="str">
            <v>Tugrik</v>
          </cell>
          <cell r="E119" t="str">
            <v>MNT</v>
          </cell>
          <cell r="F119">
            <v>1</v>
          </cell>
          <cell r="G119" t="e">
            <v>#N/A</v>
          </cell>
          <cell r="H119" t="e">
            <v>#N/A</v>
          </cell>
          <cell r="I119">
            <v>1.7390000000000001</v>
          </cell>
          <cell r="J119">
            <v>24.274999999999999</v>
          </cell>
          <cell r="K119">
            <v>44</v>
          </cell>
          <cell r="L119">
            <v>11.1</v>
          </cell>
          <cell r="M119">
            <v>22.4</v>
          </cell>
          <cell r="N119">
            <v>1464.759</v>
          </cell>
          <cell r="O119">
            <v>1494.375</v>
          </cell>
          <cell r="P119">
            <v>4.8156727488958904</v>
          </cell>
          <cell r="Q119">
            <v>11.6694964837219</v>
          </cell>
          <cell r="R119">
            <v>28.8299303844523</v>
          </cell>
          <cell r="S119">
            <v>46.081437287635701</v>
          </cell>
          <cell r="T119">
            <v>11.2363876924463</v>
          </cell>
          <cell r="U119">
            <v>17.1604339007304</v>
          </cell>
          <cell r="V119">
            <v>71.170069615547703</v>
          </cell>
          <cell r="W119">
            <v>17.251506903183401</v>
          </cell>
          <cell r="X119">
            <v>57.249417822317497</v>
          </cell>
          <cell r="Y119">
            <v>65.588468819785405</v>
          </cell>
          <cell r="Z119">
            <v>67.728069941881301</v>
          </cell>
          <cell r="AA119">
            <v>39.9979109191341</v>
          </cell>
          <cell r="AB119">
            <v>50.476563038697897</v>
          </cell>
          <cell r="AC119">
            <v>51.798760069062602</v>
          </cell>
          <cell r="AD119">
            <v>13.920651793230199</v>
          </cell>
          <cell r="AE119">
            <v>3.4419996736664502</v>
          </cell>
          <cell r="AF119">
            <v>4.60975324132162</v>
          </cell>
          <cell r="AG119">
            <v>11.1708239230448</v>
          </cell>
          <cell r="AH119">
            <v>27.637774989544099</v>
          </cell>
          <cell r="AI119">
            <v>44.1726474278544</v>
          </cell>
          <cell r="AJ119">
            <v>10.7723295692179</v>
          </cell>
          <cell r="AK119">
            <v>16.466951066499401</v>
          </cell>
          <cell r="AL119">
            <v>72.362225010455901</v>
          </cell>
          <cell r="AM119">
            <v>16.534872438310298</v>
          </cell>
          <cell r="AN119">
            <v>55.7599665411961</v>
          </cell>
          <cell r="AO119">
            <v>65.202977833542406</v>
          </cell>
          <cell r="AP119">
            <v>67.728515265579205</v>
          </cell>
          <cell r="AQ119">
            <v>39.225094102885798</v>
          </cell>
          <cell r="AR119">
            <v>51.193642827268903</v>
          </cell>
          <cell r="AS119">
            <v>16.602258469259699</v>
          </cell>
        </row>
        <row r="120">
          <cell r="C120" t="str">
            <v>Montenegro</v>
          </cell>
          <cell r="D120" t="str">
            <v>Euro</v>
          </cell>
          <cell r="E120" t="str">
            <v>EUR</v>
          </cell>
          <cell r="F120">
            <v>1.2617355060728741</v>
          </cell>
          <cell r="G120" t="e">
            <v>#N/A</v>
          </cell>
          <cell r="H120" t="e">
            <v>#N/A</v>
          </cell>
          <cell r="I120">
            <v>0.123</v>
          </cell>
          <cell r="J120">
            <v>11.616</v>
          </cell>
          <cell r="K120">
            <v>7</v>
          </cell>
          <cell r="L120">
            <v>3.1</v>
          </cell>
          <cell r="M120">
            <v>4.7</v>
          </cell>
          <cell r="N120">
            <v>309.21100000000001</v>
          </cell>
          <cell r="O120">
            <v>316.57</v>
          </cell>
          <cell r="P120">
            <v>2.3340049351413801</v>
          </cell>
          <cell r="Q120">
            <v>6.1443480341902497</v>
          </cell>
          <cell r="R120">
            <v>19.553314726837002</v>
          </cell>
          <cell r="S120">
            <v>33.872016196060301</v>
          </cell>
          <cell r="T120">
            <v>8.0100643250078392</v>
          </cell>
          <cell r="U120">
            <v>13.4089666926468</v>
          </cell>
          <cell r="V120">
            <v>80.446685273162998</v>
          </cell>
          <cell r="W120">
            <v>14.318701469223299</v>
          </cell>
          <cell r="X120">
            <v>48.802920982759403</v>
          </cell>
          <cell r="Y120">
            <v>62.226764248361199</v>
          </cell>
          <cell r="Z120">
            <v>68.707452192839199</v>
          </cell>
          <cell r="AA120">
            <v>34.484219513536097</v>
          </cell>
          <cell r="AB120">
            <v>54.3887507236159</v>
          </cell>
          <cell r="AC120">
            <v>58.467842347135097</v>
          </cell>
          <cell r="AD120">
            <v>31.643764290403599</v>
          </cell>
          <cell r="AE120">
            <v>11.7392330803238</v>
          </cell>
          <cell r="AF120">
            <v>2.14581293236883</v>
          </cell>
          <cell r="AG120">
            <v>5.6145560223647202</v>
          </cell>
          <cell r="AH120">
            <v>17.777426793442199</v>
          </cell>
          <cell r="AI120">
            <v>30.8374135262343</v>
          </cell>
          <cell r="AJ120">
            <v>7.2562150551220901</v>
          </cell>
          <cell r="AK120">
            <v>12.1628707710775</v>
          </cell>
          <cell r="AL120">
            <v>82.222573206557797</v>
          </cell>
          <cell r="AM120">
            <v>13.059986732792099</v>
          </cell>
          <cell r="AN120">
            <v>46.657927156710997</v>
          </cell>
          <cell r="AO120">
            <v>59.962725463562599</v>
          </cell>
          <cell r="AP120">
            <v>66.716050162681199</v>
          </cell>
          <cell r="AQ120">
            <v>33.597940423918899</v>
          </cell>
          <cell r="AR120">
            <v>53.656063429889102</v>
          </cell>
          <cell r="AS120">
            <v>35.5646460498468</v>
          </cell>
        </row>
        <row r="121">
          <cell r="C121" t="str">
            <v>Morocco</v>
          </cell>
          <cell r="D121" t="str">
            <v>Moroccan Dirham</v>
          </cell>
          <cell r="E121" t="str">
            <v>MAD</v>
          </cell>
          <cell r="F121">
            <v>1</v>
          </cell>
          <cell r="G121" t="e">
            <v>#N/A</v>
          </cell>
          <cell r="H121" t="e">
            <v>#N/A</v>
          </cell>
          <cell r="I121">
            <v>1.3660000000000001</v>
          </cell>
          <cell r="J121">
            <v>21.023</v>
          </cell>
          <cell r="K121">
            <v>121</v>
          </cell>
          <cell r="L121">
            <v>17.600000000000001</v>
          </cell>
          <cell r="M121">
            <v>27.6</v>
          </cell>
          <cell r="N121">
            <v>16989.263999999999</v>
          </cell>
          <cell r="O121">
            <v>17388.246999999999</v>
          </cell>
          <cell r="P121">
            <v>4.2463640567360699</v>
          </cell>
          <cell r="Q121">
            <v>10.335591936178</v>
          </cell>
          <cell r="R121">
            <v>28.253719525460301</v>
          </cell>
          <cell r="S121">
            <v>46.498053123431397</v>
          </cell>
          <cell r="T121">
            <v>11.0628217914561</v>
          </cell>
          <cell r="U121">
            <v>17.9181275892823</v>
          </cell>
          <cell r="V121">
            <v>71.746280474539702</v>
          </cell>
          <cell r="W121">
            <v>18.244333597971</v>
          </cell>
          <cell r="X121">
            <v>52.358053886265999</v>
          </cell>
          <cell r="Y121">
            <v>62.430197093882299</v>
          </cell>
          <cell r="Z121">
            <v>65.937070611181298</v>
          </cell>
          <cell r="AA121">
            <v>34.113720288294999</v>
          </cell>
          <cell r="AB121">
            <v>47.692737013210198</v>
          </cell>
          <cell r="AC121">
            <v>49.828509345666802</v>
          </cell>
          <cell r="AD121">
            <v>19.3882265882736</v>
          </cell>
          <cell r="AE121">
            <v>5.8092098633584097</v>
          </cell>
          <cell r="AF121">
            <v>3.9271871396811902</v>
          </cell>
          <cell r="AG121">
            <v>9.5742428779623303</v>
          </cell>
          <cell r="AH121">
            <v>26.2140743687388</v>
          </cell>
          <cell r="AI121">
            <v>43.3577174283296</v>
          </cell>
          <cell r="AJ121">
            <v>10.2747160193894</v>
          </cell>
          <cell r="AK121">
            <v>16.639831490776501</v>
          </cell>
          <cell r="AL121">
            <v>73.785925631261094</v>
          </cell>
          <cell r="AM121">
            <v>17.143643059590801</v>
          </cell>
          <cell r="AN121">
            <v>53.849683639759597</v>
          </cell>
          <cell r="AO121">
            <v>63.814926254498197</v>
          </cell>
          <cell r="AP121">
            <v>67.266895852123497</v>
          </cell>
          <cell r="AQ121">
            <v>36.706040580168903</v>
          </cell>
          <cell r="AR121">
            <v>50.123252792532803</v>
          </cell>
          <cell r="AS121">
            <v>19.9362419915015</v>
          </cell>
        </row>
        <row r="122">
          <cell r="C122" t="str">
            <v>Mozambique</v>
          </cell>
          <cell r="D122" t="str">
            <v>Metical</v>
          </cell>
          <cell r="E122" t="str">
            <v>MZN</v>
          </cell>
          <cell r="F122">
            <v>1</v>
          </cell>
          <cell r="G122" t="e">
            <v>#N/A</v>
          </cell>
          <cell r="H122" t="e">
            <v>#N/A</v>
          </cell>
          <cell r="I122">
            <v>2.8010000000000002</v>
          </cell>
          <cell r="J122">
            <v>39.704999999999998</v>
          </cell>
          <cell r="K122">
            <v>489</v>
          </cell>
          <cell r="L122">
            <v>27.1</v>
          </cell>
          <cell r="M122">
            <v>78.5</v>
          </cell>
          <cell r="N122">
            <v>13666.2</v>
          </cell>
          <cell r="O122">
            <v>14311.663</v>
          </cell>
          <cell r="P122">
            <v>7.4098066763255304</v>
          </cell>
          <cell r="Q122">
            <v>17.750252447644598</v>
          </cell>
          <cell r="R122">
            <v>46.579875898201401</v>
          </cell>
          <cell r="S122">
            <v>66.972252711068194</v>
          </cell>
          <cell r="T122">
            <v>18.280012000409801</v>
          </cell>
          <cell r="U122">
            <v>28.829623450556799</v>
          </cell>
          <cell r="V122">
            <v>53.420124101798599</v>
          </cell>
          <cell r="W122">
            <v>20.3923768128668</v>
          </cell>
          <cell r="X122">
            <v>44.615496626714098</v>
          </cell>
          <cell r="Y122">
            <v>48.902372276126499</v>
          </cell>
          <cell r="Z122">
            <v>50.530769343343401</v>
          </cell>
          <cell r="AA122">
            <v>24.223119813847301</v>
          </cell>
          <cell r="AB122">
            <v>30.138392530476601</v>
          </cell>
          <cell r="AC122">
            <v>31.358929329294199</v>
          </cell>
          <cell r="AD122">
            <v>8.8046274750845104</v>
          </cell>
          <cell r="AE122">
            <v>2.8893547584551702</v>
          </cell>
          <cell r="AF122">
            <v>6.9552643882126004</v>
          </cell>
          <cell r="AG122">
            <v>16.701609030341199</v>
          </cell>
          <cell r="AH122">
            <v>44.084723068171698</v>
          </cell>
          <cell r="AI122">
            <v>63.708487266643999</v>
          </cell>
          <cell r="AJ122">
            <v>17.329530467563401</v>
          </cell>
          <cell r="AK122">
            <v>27.383114037830499</v>
          </cell>
          <cell r="AL122">
            <v>55.915276931828203</v>
          </cell>
          <cell r="AM122">
            <v>19.623764198472301</v>
          </cell>
          <cell r="AN122">
            <v>45.0529194266243</v>
          </cell>
          <cell r="AO122">
            <v>50.2222418177398</v>
          </cell>
          <cell r="AP122">
            <v>52.127967239027299</v>
          </cell>
          <cell r="AQ122">
            <v>25.429155228151998</v>
          </cell>
          <cell r="AR122">
            <v>32.504203040555097</v>
          </cell>
          <cell r="AS122">
            <v>10.862357505204001</v>
          </cell>
        </row>
        <row r="123">
          <cell r="C123" t="str">
            <v>Myanmar</v>
          </cell>
          <cell r="D123" t="str">
            <v>Kyat</v>
          </cell>
          <cell r="E123" t="str">
            <v>MMK</v>
          </cell>
          <cell r="F123">
            <v>1</v>
          </cell>
          <cell r="G123" t="e">
            <v>#N/A</v>
          </cell>
          <cell r="H123" t="e">
            <v>#N/A</v>
          </cell>
          <cell r="I123">
            <v>0.82</v>
          </cell>
          <cell r="J123">
            <v>18.119</v>
          </cell>
          <cell r="K123">
            <v>178</v>
          </cell>
          <cell r="L123">
            <v>26.4</v>
          </cell>
          <cell r="M123">
            <v>50</v>
          </cell>
          <cell r="N123">
            <v>26334.984</v>
          </cell>
          <cell r="O123">
            <v>27562.17</v>
          </cell>
          <cell r="P123">
            <v>3.42562957319435</v>
          </cell>
          <cell r="Q123">
            <v>8.7377117829272297</v>
          </cell>
          <cell r="R123">
            <v>28.380700743923001</v>
          </cell>
          <cell r="S123">
            <v>46.587189876401702</v>
          </cell>
          <cell r="T123">
            <v>11.5392627540613</v>
          </cell>
          <cell r="U123">
            <v>19.642988960995801</v>
          </cell>
          <cell r="V123">
            <v>71.619299256076999</v>
          </cell>
          <cell r="W123">
            <v>18.206489132478701</v>
          </cell>
          <cell r="X123">
            <v>54.488481937182897</v>
          </cell>
          <cell r="Y123">
            <v>63.637422373220403</v>
          </cell>
          <cell r="Z123">
            <v>66.883970766794505</v>
          </cell>
          <cell r="AA123">
            <v>36.281992804704203</v>
          </cell>
          <cell r="AB123">
            <v>48.677481634315797</v>
          </cell>
          <cell r="AC123">
            <v>50.647051845560298</v>
          </cell>
          <cell r="AD123">
            <v>17.130817318894099</v>
          </cell>
          <cell r="AE123">
            <v>4.7353284892825496</v>
          </cell>
          <cell r="AF123">
            <v>3.2167859061895299</v>
          </cell>
          <cell r="AG123">
            <v>8.2135695411500595</v>
          </cell>
          <cell r="AH123">
            <v>26.757461404526602</v>
          </cell>
          <cell r="AI123">
            <v>44.207919768291099</v>
          </cell>
          <cell r="AJ123">
            <v>10.8782690187311</v>
          </cell>
          <cell r="AK123">
            <v>18.543891863376501</v>
          </cell>
          <cell r="AL123">
            <v>73.242538595473405</v>
          </cell>
          <cell r="AM123">
            <v>17.450458363764501</v>
          </cell>
          <cell r="AN123">
            <v>53.595116059439398</v>
          </cell>
          <cell r="AO123">
            <v>63.503610201954302</v>
          </cell>
          <cell r="AP123">
            <v>67.286320344152898</v>
          </cell>
          <cell r="AQ123">
            <v>36.144657695674901</v>
          </cell>
          <cell r="AR123">
            <v>49.835861980388302</v>
          </cell>
          <cell r="AS123">
            <v>19.647422536034</v>
          </cell>
        </row>
        <row r="124">
          <cell r="C124" t="str">
            <v>Namibia</v>
          </cell>
          <cell r="D124" t="str">
            <v>Namibian Dollar</v>
          </cell>
          <cell r="E124" t="str">
            <v>NAD</v>
          </cell>
          <cell r="F124">
            <v>1</v>
          </cell>
          <cell r="G124" t="e">
            <v>#N/A</v>
          </cell>
          <cell r="H124" t="e">
            <v>#N/A</v>
          </cell>
          <cell r="I124">
            <v>2.282</v>
          </cell>
          <cell r="J124">
            <v>29.937000000000001</v>
          </cell>
          <cell r="K124">
            <v>265</v>
          </cell>
          <cell r="L124">
            <v>15.9</v>
          </cell>
          <cell r="M124">
            <v>45.4</v>
          </cell>
          <cell r="N124">
            <v>1196.788</v>
          </cell>
          <cell r="O124">
            <v>1262.0419999999999</v>
          </cell>
          <cell r="P124">
            <v>6.0149333048125504</v>
          </cell>
          <cell r="Q124">
            <v>14.2327630290411</v>
          </cell>
          <cell r="R124">
            <v>37.873290841819902</v>
          </cell>
          <cell r="S124">
            <v>59.463915079362401</v>
          </cell>
          <cell r="T124">
            <v>14.5859584153584</v>
          </cell>
          <cell r="U124">
            <v>23.640527812778899</v>
          </cell>
          <cell r="V124">
            <v>62.126709158179999</v>
          </cell>
          <cell r="W124">
            <v>21.590624237542499</v>
          </cell>
          <cell r="X124">
            <v>52.1731501318529</v>
          </cell>
          <cell r="Y124">
            <v>57.515867471933198</v>
          </cell>
          <cell r="Z124">
            <v>59.174975016460699</v>
          </cell>
          <cell r="AA124">
            <v>30.5825258943104</v>
          </cell>
          <cell r="AB124">
            <v>37.5843507789182</v>
          </cell>
          <cell r="AC124">
            <v>38.818153256884301</v>
          </cell>
          <cell r="AD124">
            <v>9.9535590263271292</v>
          </cell>
          <cell r="AE124">
            <v>2.9517341417193301</v>
          </cell>
          <cell r="AF124">
            <v>5.6157402051595797</v>
          </cell>
          <cell r="AG124">
            <v>13.304232347259401</v>
          </cell>
          <cell r="AH124">
            <v>35.5681506637656</v>
          </cell>
          <cell r="AI124">
            <v>56.134106471892402</v>
          </cell>
          <cell r="AJ124">
            <v>13.710320258755299</v>
          </cell>
          <cell r="AK124">
            <v>22.2639183165061</v>
          </cell>
          <cell r="AL124">
            <v>64.431849336234393</v>
          </cell>
          <cell r="AM124">
            <v>20.565955808126802</v>
          </cell>
          <cell r="AN124">
            <v>51.849066829788498</v>
          </cell>
          <cell r="AO124">
            <v>58.181502675822202</v>
          </cell>
          <cell r="AP124">
            <v>60.362967318044902</v>
          </cell>
          <cell r="AQ124">
            <v>31.2831110216617</v>
          </cell>
          <cell r="AR124">
            <v>39.7970115099181</v>
          </cell>
          <cell r="AS124">
            <v>12.5827825064459</v>
          </cell>
        </row>
        <row r="125">
          <cell r="C125" t="str">
            <v>Nauru</v>
          </cell>
          <cell r="D125" t="str">
            <v>Australian Dollar</v>
          </cell>
          <cell r="E125" t="str">
            <v>AUD</v>
          </cell>
          <cell r="F125">
            <v>1.8631010330578528</v>
          </cell>
          <cell r="G125" t="e">
            <v>#N/A</v>
          </cell>
          <cell r="H125" t="e">
            <v>#N/A</v>
          </cell>
          <cell r="I125">
            <v>0.38900000000000001</v>
          </cell>
          <cell r="J125" t="e">
            <v>#N/A</v>
          </cell>
          <cell r="K125" t="e">
            <v>#N/A</v>
          </cell>
          <cell r="L125">
            <v>22.7</v>
          </cell>
          <cell r="M125">
            <v>35.4</v>
          </cell>
          <cell r="N125" t="e">
            <v>#N/A</v>
          </cell>
          <cell r="O125" t="e">
            <v>#N/A</v>
          </cell>
          <cell r="P125" t="e">
            <v>#N/A</v>
          </cell>
          <cell r="Q125" t="e">
            <v>#N/A</v>
          </cell>
          <cell r="R125" t="e">
            <v>#N/A</v>
          </cell>
          <cell r="S125" t="e">
            <v>#N/A</v>
          </cell>
          <cell r="T125" t="e">
            <v>#N/A</v>
          </cell>
          <cell r="U125" t="e">
            <v>#N/A</v>
          </cell>
          <cell r="V125" t="e">
            <v>#N/A</v>
          </cell>
          <cell r="W125" t="e">
            <v>#N/A</v>
          </cell>
          <cell r="X125" t="e">
            <v>#N/A</v>
          </cell>
          <cell r="Y125" t="e">
            <v>#N/A</v>
          </cell>
          <cell r="Z125" t="e">
            <v>#N/A</v>
          </cell>
          <cell r="AA125" t="e">
            <v>#N/A</v>
          </cell>
          <cell r="AB125" t="e">
            <v>#N/A</v>
          </cell>
          <cell r="AC125" t="e">
            <v>#N/A</v>
          </cell>
          <cell r="AD125" t="e">
            <v>#N/A</v>
          </cell>
          <cell r="AE125" t="e">
            <v>#N/A</v>
          </cell>
          <cell r="AF125" t="e">
            <v>#N/A</v>
          </cell>
          <cell r="AG125" t="e">
            <v>#N/A</v>
          </cell>
          <cell r="AH125" t="e">
            <v>#N/A</v>
          </cell>
          <cell r="AI125" t="e">
            <v>#N/A</v>
          </cell>
          <cell r="AJ125" t="e">
            <v>#N/A</v>
          </cell>
          <cell r="AK125" t="e">
            <v>#N/A</v>
          </cell>
          <cell r="AL125" t="e">
            <v>#N/A</v>
          </cell>
          <cell r="AM125" t="e">
            <v>#N/A</v>
          </cell>
          <cell r="AN125" t="e">
            <v>#N/A</v>
          </cell>
          <cell r="AO125" t="e">
            <v>#N/A</v>
          </cell>
          <cell r="AP125" t="e">
            <v>#N/A</v>
          </cell>
          <cell r="AQ125" t="e">
            <v>#N/A</v>
          </cell>
          <cell r="AR125" t="e">
            <v>#N/A</v>
          </cell>
          <cell r="AS125" t="e">
            <v>#N/A</v>
          </cell>
        </row>
        <row r="126">
          <cell r="C126" t="str">
            <v>Nepal</v>
          </cell>
          <cell r="D126" t="str">
            <v>Nepalese Rupee</v>
          </cell>
          <cell r="E126" t="str">
            <v>NPR</v>
          </cell>
          <cell r="F126">
            <v>143.58031275720163</v>
          </cell>
          <cell r="G126" t="e">
            <v>#N/A</v>
          </cell>
          <cell r="H126" t="e">
            <v>#N/A</v>
          </cell>
          <cell r="I126">
            <v>1.1830000000000001</v>
          </cell>
          <cell r="J126">
            <v>20.922999999999998</v>
          </cell>
          <cell r="K126">
            <v>258</v>
          </cell>
          <cell r="L126">
            <v>22.2</v>
          </cell>
          <cell r="M126">
            <v>35.799999999999997</v>
          </cell>
          <cell r="N126">
            <v>13816.472</v>
          </cell>
          <cell r="O126">
            <v>14697.227999999999</v>
          </cell>
          <cell r="P126">
            <v>4.0730513549334404</v>
          </cell>
          <cell r="Q126">
            <v>10.4559036489199</v>
          </cell>
          <cell r="R126">
            <v>34.586101285480098</v>
          </cell>
          <cell r="S126">
            <v>55.775193551580998</v>
          </cell>
          <cell r="T126">
            <v>14.085549480359401</v>
          </cell>
          <cell r="U126">
            <v>24.130197636560201</v>
          </cell>
          <cell r="V126">
            <v>65.413898714519902</v>
          </cell>
          <cell r="W126">
            <v>21.1890922661009</v>
          </cell>
          <cell r="X126">
            <v>49.751086963444799</v>
          </cell>
          <cell r="Y126">
            <v>57.0607098541509</v>
          </cell>
          <cell r="Z126">
            <v>60.067779965826297</v>
          </cell>
          <cell r="AA126">
            <v>28.561994697343899</v>
          </cell>
          <cell r="AB126">
            <v>38.878687699725397</v>
          </cell>
          <cell r="AC126">
            <v>41.046817161428798</v>
          </cell>
          <cell r="AD126">
            <v>15.6628117510751</v>
          </cell>
          <cell r="AE126">
            <v>5.3461187486935904</v>
          </cell>
          <cell r="AF126">
            <v>3.5614470973710102</v>
          </cell>
          <cell r="AG126">
            <v>9.2704079980252008</v>
          </cell>
          <cell r="AH126">
            <v>30.8572949946752</v>
          </cell>
          <cell r="AI126">
            <v>51.5212800672344</v>
          </cell>
          <cell r="AJ126">
            <v>12.628013935689101</v>
          </cell>
          <cell r="AK126">
            <v>21.586886996650001</v>
          </cell>
          <cell r="AL126">
            <v>69.1427050053248</v>
          </cell>
          <cell r="AM126">
            <v>20.663985072559299</v>
          </cell>
          <cell r="AN126">
            <v>53.385706474717502</v>
          </cell>
          <cell r="AO126">
            <v>60.283496996848697</v>
          </cell>
          <cell r="AP126">
            <v>63.406602932199199</v>
          </cell>
          <cell r="AQ126">
            <v>32.721721402158302</v>
          </cell>
          <cell r="AR126">
            <v>42.7426178596399</v>
          </cell>
          <cell r="AS126">
            <v>15.7569985306073</v>
          </cell>
        </row>
        <row r="127">
          <cell r="C127" t="str">
            <v>Netherlands</v>
          </cell>
          <cell r="D127" t="str">
            <v>Euro</v>
          </cell>
          <cell r="E127" t="str">
            <v>EUR</v>
          </cell>
          <cell r="F127">
            <v>1.2617355060728741</v>
          </cell>
          <cell r="G127" t="e">
            <v>#N/A</v>
          </cell>
          <cell r="H127" t="e">
            <v>#N/A</v>
          </cell>
          <cell r="I127">
            <v>0.35</v>
          </cell>
          <cell r="J127">
            <v>10.199999999999999</v>
          </cell>
          <cell r="K127">
            <v>7</v>
          </cell>
          <cell r="L127">
            <v>2.4</v>
          </cell>
          <cell r="M127">
            <v>3.8</v>
          </cell>
          <cell r="N127">
            <v>8400.6260000000002</v>
          </cell>
          <cell r="O127">
            <v>8524.3029999999999</v>
          </cell>
          <cell r="P127">
            <v>2.1759330792728999</v>
          </cell>
          <cell r="Q127">
            <v>5.4067518301612303</v>
          </cell>
          <cell r="R127">
            <v>17.076536915225098</v>
          </cell>
          <cell r="S127">
            <v>29.369180344417199</v>
          </cell>
          <cell r="T127">
            <v>6.8048381156356603</v>
          </cell>
          <cell r="U127">
            <v>11.6697850850639</v>
          </cell>
          <cell r="V127">
            <v>82.923463084774895</v>
          </cell>
          <cell r="W127">
            <v>12.292643429192101</v>
          </cell>
          <cell r="X127">
            <v>45.1804901206172</v>
          </cell>
          <cell r="Y127">
            <v>59.973375793661098</v>
          </cell>
          <cell r="Z127">
            <v>66.271846883791696</v>
          </cell>
          <cell r="AA127">
            <v>32.887846691425104</v>
          </cell>
          <cell r="AB127">
            <v>53.979203454599698</v>
          </cell>
          <cell r="AC127">
            <v>60.1829077975855</v>
          </cell>
          <cell r="AD127">
            <v>37.742972964157701</v>
          </cell>
          <cell r="AE127">
            <v>16.651616200983099</v>
          </cell>
          <cell r="AF127">
            <v>2.03574415409682</v>
          </cell>
          <cell r="AG127">
            <v>5.0484714116802296</v>
          </cell>
          <cell r="AH127">
            <v>15.9780336292598</v>
          </cell>
          <cell r="AI127">
            <v>27.523798719965701</v>
          </cell>
          <cell r="AJ127">
            <v>6.3601563670366996</v>
          </cell>
          <cell r="AK127">
            <v>10.9295622175795</v>
          </cell>
          <cell r="AL127">
            <v>84.021966370740202</v>
          </cell>
          <cell r="AM127">
            <v>11.545765090705901</v>
          </cell>
          <cell r="AN127">
            <v>43.5508803476366</v>
          </cell>
          <cell r="AO127">
            <v>57.9744056493534</v>
          </cell>
          <cell r="AP127">
            <v>64.235550988743597</v>
          </cell>
          <cell r="AQ127">
            <v>32.005115256930701</v>
          </cell>
          <cell r="AR127">
            <v>52.689785898037599</v>
          </cell>
          <cell r="AS127">
            <v>40.471086023103602</v>
          </cell>
        </row>
        <row r="128">
          <cell r="C128" t="str">
            <v>New Zealand</v>
          </cell>
          <cell r="D128" t="str">
            <v>New Zealand Dollar</v>
          </cell>
          <cell r="E128" t="str">
            <v>NZD</v>
          </cell>
          <cell r="F128">
            <v>2.0092387136929473</v>
          </cell>
          <cell r="G128" t="e">
            <v>#N/A</v>
          </cell>
          <cell r="H128" t="e">
            <v>#N/A</v>
          </cell>
          <cell r="I128">
            <v>0.71699999999999997</v>
          </cell>
          <cell r="J128">
            <v>13.12</v>
          </cell>
          <cell r="K128">
            <v>11</v>
          </cell>
          <cell r="L128">
            <v>3.1</v>
          </cell>
          <cell r="M128">
            <v>5.7</v>
          </cell>
          <cell r="N128">
            <v>2213.123</v>
          </cell>
          <cell r="O128">
            <v>2315.4029999999998</v>
          </cell>
          <cell r="P128">
            <v>2.7884577585610901</v>
          </cell>
          <cell r="Q128">
            <v>7.1564029654022798</v>
          </cell>
          <cell r="R128">
            <v>21.192992888330199</v>
          </cell>
          <cell r="S128">
            <v>35.701946977190097</v>
          </cell>
          <cell r="T128">
            <v>8.5830746867661691</v>
          </cell>
          <cell r="U128">
            <v>14.036589922927901</v>
          </cell>
          <cell r="V128">
            <v>78.807007111669805</v>
          </cell>
          <cell r="W128">
            <v>14.5089540888599</v>
          </cell>
          <cell r="X128">
            <v>45.829084059042302</v>
          </cell>
          <cell r="Y128">
            <v>59.2265319189218</v>
          </cell>
          <cell r="Z128">
            <v>64.682758256093294</v>
          </cell>
          <cell r="AA128">
            <v>31.3201299701824</v>
          </cell>
          <cell r="AB128">
            <v>50.173804167233399</v>
          </cell>
          <cell r="AC128">
            <v>55.265206678526198</v>
          </cell>
          <cell r="AD128">
            <v>32.977923052627403</v>
          </cell>
          <cell r="AE128">
            <v>14.1242488555765</v>
          </cell>
          <cell r="AF128">
            <v>2.53135199358384</v>
          </cell>
          <cell r="AG128">
            <v>6.4958454316592</v>
          </cell>
          <cell r="AH128">
            <v>19.2643785984556</v>
          </cell>
          <cell r="AI128">
            <v>32.6353554867122</v>
          </cell>
          <cell r="AJ128">
            <v>7.80516393906374</v>
          </cell>
          <cell r="AK128">
            <v>12.7685331667965</v>
          </cell>
          <cell r="AL128">
            <v>80.735621401544293</v>
          </cell>
          <cell r="AM128">
            <v>13.3709768882566</v>
          </cell>
          <cell r="AN128">
            <v>45.940209976405797</v>
          </cell>
          <cell r="AO128">
            <v>59.671944797514698</v>
          </cell>
          <cell r="AP128">
            <v>65.169432707826701</v>
          </cell>
          <cell r="AQ128">
            <v>32.569233088149197</v>
          </cell>
          <cell r="AR128">
            <v>51.798455819570101</v>
          </cell>
          <cell r="AS128">
            <v>34.795411425138496</v>
          </cell>
        </row>
        <row r="129">
          <cell r="C129" t="str">
            <v>Nicaragua</v>
          </cell>
          <cell r="D129" t="str">
            <v>Cordoba Oro</v>
          </cell>
          <cell r="E129" t="str">
            <v>NIO</v>
          </cell>
          <cell r="F129">
            <v>1</v>
          </cell>
          <cell r="G129" t="e">
            <v>#N/A</v>
          </cell>
          <cell r="H129" t="e">
            <v>#N/A</v>
          </cell>
          <cell r="I129">
            <v>1.1659999999999999</v>
          </cell>
          <cell r="J129">
            <v>20.788</v>
          </cell>
          <cell r="K129">
            <v>150</v>
          </cell>
          <cell r="L129">
            <v>9.8000000000000007</v>
          </cell>
          <cell r="M129">
            <v>22.1</v>
          </cell>
          <cell r="N129">
            <v>2997.973</v>
          </cell>
          <cell r="O129">
            <v>3084.0590000000002</v>
          </cell>
          <cell r="P129">
            <v>4.0434320122295997</v>
          </cell>
          <cell r="Q129">
            <v>10.322174349135199</v>
          </cell>
          <cell r="R129">
            <v>31.2893078089763</v>
          </cell>
          <cell r="S129">
            <v>51.726683329036</v>
          </cell>
          <cell r="T129">
            <v>12.672629139755401</v>
          </cell>
          <cell r="U129">
            <v>20.967133459841001</v>
          </cell>
          <cell r="V129">
            <v>68.710692191023796</v>
          </cell>
          <cell r="W129">
            <v>20.4373755200597</v>
          </cell>
          <cell r="X129">
            <v>54.841688033881603</v>
          </cell>
          <cell r="Y129">
            <v>61.738548012273597</v>
          </cell>
          <cell r="Z129">
            <v>64.1799976183908</v>
          </cell>
          <cell r="AA129">
            <v>34.4043125138219</v>
          </cell>
          <cell r="AB129">
            <v>43.742622098331097</v>
          </cell>
          <cell r="AC129">
            <v>45.169452826960097</v>
          </cell>
          <cell r="AD129">
            <v>13.8690041571422</v>
          </cell>
          <cell r="AE129">
            <v>4.5306945726329104</v>
          </cell>
          <cell r="AF129">
            <v>3.7744089850421201</v>
          </cell>
          <cell r="AG129">
            <v>9.6007242403598596</v>
          </cell>
          <cell r="AH129">
            <v>28.814299596732798</v>
          </cell>
          <cell r="AI129">
            <v>47.678594994453697</v>
          </cell>
          <cell r="AJ129">
            <v>11.6477343656525</v>
          </cell>
          <cell r="AK129">
            <v>19.2135753563729</v>
          </cell>
          <cell r="AL129">
            <v>71.185700403267305</v>
          </cell>
          <cell r="AM129">
            <v>18.864295397721001</v>
          </cell>
          <cell r="AN129">
            <v>54.697494438336001</v>
          </cell>
          <cell r="AO129">
            <v>62.634858801339398</v>
          </cell>
          <cell r="AP129">
            <v>65.561164685889594</v>
          </cell>
          <cell r="AQ129">
            <v>35.833199040615</v>
          </cell>
          <cell r="AR129">
            <v>46.6968692881686</v>
          </cell>
          <cell r="AS129">
            <v>16.4882059649313</v>
          </cell>
        </row>
        <row r="130">
          <cell r="C130" t="str">
            <v>Niger</v>
          </cell>
          <cell r="D130" t="str">
            <v>CFA Franc BCEAO</v>
          </cell>
          <cell r="E130" t="str">
            <v>XOF</v>
          </cell>
          <cell r="F130">
            <v>1</v>
          </cell>
          <cell r="G130" t="e">
            <v>#N/A</v>
          </cell>
          <cell r="H130" t="e">
            <v>#N/A</v>
          </cell>
          <cell r="I130">
            <v>4</v>
          </cell>
          <cell r="J130">
            <v>49.661000000000001</v>
          </cell>
          <cell r="K130">
            <v>553</v>
          </cell>
          <cell r="L130">
            <v>26.8</v>
          </cell>
          <cell r="M130">
            <v>95.5</v>
          </cell>
          <cell r="N130">
            <v>10029.155000000001</v>
          </cell>
          <cell r="O130">
            <v>9869.9650000000001</v>
          </cell>
          <cell r="P130">
            <v>9.0466843916561306</v>
          </cell>
          <cell r="Q130">
            <v>21.0735700066456</v>
          </cell>
          <cell r="R130">
            <v>51.133290890409</v>
          </cell>
          <cell r="S130">
            <v>68.422314741371494</v>
          </cell>
          <cell r="T130">
            <v>19.6443369356641</v>
          </cell>
          <cell r="U130">
            <v>30.059720883763401</v>
          </cell>
          <cell r="V130">
            <v>48.866709109591</v>
          </cell>
          <cell r="W130">
            <v>17.289023850962501</v>
          </cell>
          <cell r="X130">
            <v>38.9606302824116</v>
          </cell>
          <cell r="Y130">
            <v>44.741516109781898</v>
          </cell>
          <cell r="Z130">
            <v>46.483158351825303</v>
          </cell>
          <cell r="AA130">
            <v>21.671606431449099</v>
          </cell>
          <cell r="AB130">
            <v>29.194134500862699</v>
          </cell>
          <cell r="AC130">
            <v>30.338667614569701</v>
          </cell>
          <cell r="AD130">
            <v>9.9060788271793605</v>
          </cell>
          <cell r="AE130">
            <v>2.3835507577657302</v>
          </cell>
          <cell r="AF130">
            <v>8.8358064086346797</v>
          </cell>
          <cell r="AG130">
            <v>20.580154032967702</v>
          </cell>
          <cell r="AH130">
            <v>49.787096509460802</v>
          </cell>
          <cell r="AI130">
            <v>68.213463776213999</v>
          </cell>
          <cell r="AJ130">
            <v>19.073005831327698</v>
          </cell>
          <cell r="AK130">
            <v>29.206942476493101</v>
          </cell>
          <cell r="AL130">
            <v>50.212903490539198</v>
          </cell>
          <cell r="AM130">
            <v>18.4263672667532</v>
          </cell>
          <cell r="AN130">
            <v>41.4059421689945</v>
          </cell>
          <cell r="AO130">
            <v>45.922705906251899</v>
          </cell>
          <cell r="AP130">
            <v>47.433146926052899</v>
          </cell>
          <cell r="AQ130">
            <v>22.9795749022413</v>
          </cell>
          <cell r="AR130">
            <v>29.006779659299699</v>
          </cell>
          <cell r="AS130">
            <v>8.8069613215447102</v>
          </cell>
        </row>
        <row r="131">
          <cell r="C131" t="str">
            <v>Nigeria</v>
          </cell>
          <cell r="D131" t="str">
            <v>Naira</v>
          </cell>
          <cell r="E131" t="str">
            <v>NGN</v>
          </cell>
          <cell r="F131">
            <v>1</v>
          </cell>
          <cell r="G131" t="e">
            <v>#N/A</v>
          </cell>
          <cell r="H131" t="e">
            <v>#N/A</v>
          </cell>
          <cell r="I131">
            <v>2.6709999999999998</v>
          </cell>
          <cell r="J131">
            <v>40.045000000000002</v>
          </cell>
          <cell r="K131">
            <v>814</v>
          </cell>
          <cell r="L131">
            <v>34.299999999999997</v>
          </cell>
          <cell r="M131">
            <v>108.8</v>
          </cell>
          <cell r="N131">
            <v>92788.95</v>
          </cell>
          <cell r="O131">
            <v>89413.012000000002</v>
          </cell>
          <cell r="P131">
            <v>7.2142588099121703</v>
          </cell>
          <cell r="Q131">
            <v>17.173592329690099</v>
          </cell>
          <cell r="R131">
            <v>44.2550799421698</v>
          </cell>
          <cell r="S131">
            <v>63.410343580781998</v>
          </cell>
          <cell r="T131">
            <v>17.276414917940102</v>
          </cell>
          <cell r="U131">
            <v>27.081487612479702</v>
          </cell>
          <cell r="V131">
            <v>55.7449200578302</v>
          </cell>
          <cell r="W131">
            <v>19.155263638612102</v>
          </cell>
          <cell r="X131">
            <v>46.529584611098599</v>
          </cell>
          <cell r="Y131">
            <v>51.523701906315303</v>
          </cell>
          <cell r="Z131">
            <v>53.173036228990597</v>
          </cell>
          <cell r="AA131">
            <v>27.374320972486501</v>
          </cell>
          <cell r="AB131">
            <v>34.017772590378499</v>
          </cell>
          <cell r="AC131">
            <v>35.245533007971297</v>
          </cell>
          <cell r="AD131">
            <v>9.2153354467315296</v>
          </cell>
          <cell r="AE131">
            <v>2.57188382883953</v>
          </cell>
          <cell r="AF131">
            <v>7.12168716562193</v>
          </cell>
          <cell r="AG131">
            <v>16.9706462858001</v>
          </cell>
          <cell r="AH131">
            <v>43.7132136875112</v>
          </cell>
          <cell r="AI131">
            <v>62.613147401856899</v>
          </cell>
          <cell r="AJ131">
            <v>17.078159720198201</v>
          </cell>
          <cell r="AK131">
            <v>26.742567401711099</v>
          </cell>
          <cell r="AL131">
            <v>56.2867863124888</v>
          </cell>
          <cell r="AM131">
            <v>18.8999337143457</v>
          </cell>
          <cell r="AN131">
            <v>46.260151710357299</v>
          </cell>
          <cell r="AO131">
            <v>51.543114328818298</v>
          </cell>
          <cell r="AP131">
            <v>53.3790070733777</v>
          </cell>
          <cell r="AQ131">
            <v>27.360217996011599</v>
          </cell>
          <cell r="AR131">
            <v>34.479073359031901</v>
          </cell>
          <cell r="AS131">
            <v>10.0266346021315</v>
          </cell>
        </row>
        <row r="132">
          <cell r="C132" t="str">
            <v>Niue</v>
          </cell>
          <cell r="D132" t="str">
            <v>New Zealand Dollar</v>
          </cell>
          <cell r="E132" t="str">
            <v>NZD</v>
          </cell>
          <cell r="F132">
            <v>2.0092387136929473</v>
          </cell>
          <cell r="G132" t="e">
            <v>#N/A</v>
          </cell>
          <cell r="H132" t="e">
            <v>#N/A</v>
          </cell>
          <cell r="I132">
            <v>-0.13600000000000001</v>
          </cell>
          <cell r="J132" t="e">
            <v>#N/A</v>
          </cell>
          <cell r="K132" t="e">
            <v>#N/A</v>
          </cell>
          <cell r="L132">
            <v>12.5</v>
          </cell>
          <cell r="M132">
            <v>23</v>
          </cell>
          <cell r="N132" t="e">
            <v>#N/A</v>
          </cell>
          <cell r="O132" t="e">
            <v>#N/A</v>
          </cell>
          <cell r="P132" t="e">
            <v>#N/A</v>
          </cell>
          <cell r="Q132" t="e">
            <v>#N/A</v>
          </cell>
          <cell r="R132" t="e">
            <v>#N/A</v>
          </cell>
          <cell r="S132" t="e">
            <v>#N/A</v>
          </cell>
          <cell r="T132" t="e">
            <v>#N/A</v>
          </cell>
          <cell r="U132" t="e">
            <v>#N/A</v>
          </cell>
          <cell r="V132" t="e">
            <v>#N/A</v>
          </cell>
          <cell r="W132" t="e">
            <v>#N/A</v>
          </cell>
          <cell r="X132" t="e">
            <v>#N/A</v>
          </cell>
          <cell r="Y132" t="e">
            <v>#N/A</v>
          </cell>
          <cell r="Z132" t="e">
            <v>#N/A</v>
          </cell>
          <cell r="AA132" t="e">
            <v>#N/A</v>
          </cell>
          <cell r="AB132" t="e">
            <v>#N/A</v>
          </cell>
          <cell r="AC132" t="e">
            <v>#N/A</v>
          </cell>
          <cell r="AD132" t="e">
            <v>#N/A</v>
          </cell>
          <cell r="AE132" t="e">
            <v>#N/A</v>
          </cell>
          <cell r="AF132" t="e">
            <v>#N/A</v>
          </cell>
          <cell r="AG132" t="e">
            <v>#N/A</v>
          </cell>
          <cell r="AH132" t="e">
            <v>#N/A</v>
          </cell>
          <cell r="AI132" t="e">
            <v>#N/A</v>
          </cell>
          <cell r="AJ132" t="e">
            <v>#N/A</v>
          </cell>
          <cell r="AK132" t="e">
            <v>#N/A</v>
          </cell>
          <cell r="AL132" t="e">
            <v>#N/A</v>
          </cell>
          <cell r="AM132" t="e">
            <v>#N/A</v>
          </cell>
          <cell r="AN132" t="e">
            <v>#N/A</v>
          </cell>
          <cell r="AO132" t="e">
            <v>#N/A</v>
          </cell>
          <cell r="AP132" t="e">
            <v>#N/A</v>
          </cell>
          <cell r="AQ132" t="e">
            <v>#N/A</v>
          </cell>
          <cell r="AR132" t="e">
            <v>#N/A</v>
          </cell>
          <cell r="AS132" t="e">
            <v>#N/A</v>
          </cell>
        </row>
        <row r="133">
          <cell r="C133" t="str">
            <v>Norway</v>
          </cell>
          <cell r="D133" t="str">
            <v>Norwegian Krone</v>
          </cell>
          <cell r="E133" t="str">
            <v>NOK</v>
          </cell>
          <cell r="F133">
            <v>11.295781069958853</v>
          </cell>
          <cell r="G133" t="e">
            <v>#N/A</v>
          </cell>
          <cell r="H133" t="e">
            <v>#N/A</v>
          </cell>
          <cell r="I133">
            <v>1.266</v>
          </cell>
          <cell r="J133">
            <v>11.6</v>
          </cell>
          <cell r="K133">
            <v>5</v>
          </cell>
          <cell r="L133">
            <v>1.5</v>
          </cell>
          <cell r="M133">
            <v>2.6</v>
          </cell>
          <cell r="N133">
            <v>2624.8040000000001</v>
          </cell>
          <cell r="O133">
            <v>2586.163</v>
          </cell>
          <cell r="P133">
            <v>2.39655989551982</v>
          </cell>
          <cell r="Q133">
            <v>6.1515831277306798</v>
          </cell>
          <cell r="R133">
            <v>18.2642208713489</v>
          </cell>
          <cell r="S133">
            <v>31.659659159312501</v>
          </cell>
          <cell r="T133">
            <v>7.3766269786239302</v>
          </cell>
          <cell r="U133">
            <v>12.112637743618199</v>
          </cell>
          <cell r="V133">
            <v>81.735779128651103</v>
          </cell>
          <cell r="W133">
            <v>13.3954382879636</v>
          </cell>
          <cell r="X133">
            <v>48.800862845378198</v>
          </cell>
          <cell r="Y133">
            <v>61.522765128367702</v>
          </cell>
          <cell r="Z133">
            <v>66.951551430125804</v>
          </cell>
          <cell r="AA133">
            <v>35.405424557414598</v>
          </cell>
          <cell r="AB133">
            <v>53.556113142162197</v>
          </cell>
          <cell r="AC133">
            <v>59.287398220971902</v>
          </cell>
          <cell r="AD133">
            <v>32.934916283272997</v>
          </cell>
          <cell r="AE133">
            <v>14.784227698525299</v>
          </cell>
          <cell r="AF133">
            <v>2.3233261012550299</v>
          </cell>
          <cell r="AG133">
            <v>5.9265405931490003</v>
          </cell>
          <cell r="AH133">
            <v>17.6684532258794</v>
          </cell>
          <cell r="AI133">
            <v>30.488062817386201</v>
          </cell>
          <cell r="AJ133">
            <v>7.1206261940952702</v>
          </cell>
          <cell r="AK133">
            <v>11.741912632730401</v>
          </cell>
          <cell r="AL133">
            <v>82.331546774120596</v>
          </cell>
          <cell r="AM133">
            <v>12.819609591506801</v>
          </cell>
          <cell r="AN133">
            <v>46.647175758063199</v>
          </cell>
          <cell r="AO133">
            <v>59.0111682828963</v>
          </cell>
          <cell r="AP133">
            <v>64.426797537510197</v>
          </cell>
          <cell r="AQ133">
            <v>33.827566166556402</v>
          </cell>
          <cell r="AR133">
            <v>51.6071879460034</v>
          </cell>
          <cell r="AS133">
            <v>35.684371016057398</v>
          </cell>
        </row>
        <row r="134">
          <cell r="C134" t="str">
            <v>Oman</v>
          </cell>
          <cell r="D134" t="str">
            <v>Rial Omani</v>
          </cell>
          <cell r="E134" t="str">
            <v>OMR</v>
          </cell>
          <cell r="F134">
            <v>0.53784271774193526</v>
          </cell>
          <cell r="G134" t="e">
            <v>#N/A</v>
          </cell>
          <cell r="H134" t="e">
            <v>#N/A</v>
          </cell>
          <cell r="I134">
            <v>8.4459999999999997</v>
          </cell>
          <cell r="J134">
            <v>20.419</v>
          </cell>
          <cell r="K134">
            <v>17</v>
          </cell>
          <cell r="L134">
            <v>5.2</v>
          </cell>
          <cell r="M134">
            <v>11.6</v>
          </cell>
          <cell r="N134">
            <v>2978.627</v>
          </cell>
          <cell r="O134">
            <v>1511.914</v>
          </cell>
          <cell r="P134">
            <v>2.7640251699860401</v>
          </cell>
          <cell r="Q134">
            <v>6.6352047436620998</v>
          </cell>
          <cell r="R134">
            <v>15.7032417956327</v>
          </cell>
          <cell r="S134">
            <v>30.5199677569565</v>
          </cell>
          <cell r="T134">
            <v>6.0311680515888701</v>
          </cell>
          <cell r="U134">
            <v>9.06803705197059</v>
          </cell>
          <cell r="V134">
            <v>84.296758204367293</v>
          </cell>
          <cell r="W134">
            <v>14.816725961323799</v>
          </cell>
          <cell r="X134">
            <v>74.468840845127602</v>
          </cell>
          <cell r="Y134">
            <v>80.459486870964398</v>
          </cell>
          <cell r="Z134">
            <v>82.169972943909997</v>
          </cell>
          <cell r="AA134">
            <v>59.652114883803797</v>
          </cell>
          <cell r="AB134">
            <v>67.353246982586299</v>
          </cell>
          <cell r="AC134">
            <v>68.239024221562502</v>
          </cell>
          <cell r="AD134">
            <v>9.8279173592396791</v>
          </cell>
          <cell r="AE134">
            <v>2.1267852604572499</v>
          </cell>
          <cell r="AF134">
            <v>5.1380567942356503</v>
          </cell>
          <cell r="AG134">
            <v>12.4117509329234</v>
          </cell>
          <cell r="AH134">
            <v>30.011892210800401</v>
          </cell>
          <cell r="AI134">
            <v>49.1229659888062</v>
          </cell>
          <cell r="AJ134">
            <v>11.7166717154547</v>
          </cell>
          <cell r="AK134">
            <v>17.600141277876901</v>
          </cell>
          <cell r="AL134">
            <v>69.988107789199603</v>
          </cell>
          <cell r="AM134">
            <v>19.111073778005899</v>
          </cell>
          <cell r="AN134">
            <v>59.4297030122084</v>
          </cell>
          <cell r="AO134">
            <v>64.609693408487502</v>
          </cell>
          <cell r="AP134">
            <v>66.512116429902804</v>
          </cell>
          <cell r="AQ134">
            <v>40.318629234202497</v>
          </cell>
          <cell r="AR134">
            <v>47.401042651896901</v>
          </cell>
          <cell r="AS134">
            <v>10.558404776991299</v>
          </cell>
        </row>
        <row r="135">
          <cell r="C135" t="str">
            <v>Pakistan</v>
          </cell>
          <cell r="D135" t="str">
            <v>Pakistan Rupee</v>
          </cell>
          <cell r="E135" t="str">
            <v>PKR</v>
          </cell>
          <cell r="F135">
            <v>143.72693277310933</v>
          </cell>
          <cell r="G135" t="e">
            <v>#N/A</v>
          </cell>
          <cell r="H135" t="e">
            <v>#N/A</v>
          </cell>
          <cell r="I135">
            <v>2.1059999999999999</v>
          </cell>
          <cell r="J135">
            <v>29.582000000000001</v>
          </cell>
          <cell r="K135">
            <v>178</v>
          </cell>
          <cell r="L135">
            <v>45.5</v>
          </cell>
          <cell r="M135">
            <v>81.099999999999994</v>
          </cell>
          <cell r="N135">
            <v>97052.303</v>
          </cell>
          <cell r="O135">
            <v>91872.570999999996</v>
          </cell>
          <cell r="P135">
            <v>5.4145814551149796</v>
          </cell>
          <cell r="Q135">
            <v>13.1809679982555</v>
          </cell>
          <cell r="R135">
            <v>35.369740788119202</v>
          </cell>
          <cell r="S135">
            <v>55.331447415524003</v>
          </cell>
          <cell r="T135">
            <v>13.906283089438899</v>
          </cell>
          <cell r="U135">
            <v>22.188772789863599</v>
          </cell>
          <cell r="V135">
            <v>64.630259211880897</v>
          </cell>
          <cell r="W135">
            <v>19.961706627404801</v>
          </cell>
          <cell r="X135">
            <v>51.452019639348499</v>
          </cell>
          <cell r="Y135">
            <v>58.062946739141303</v>
          </cell>
          <cell r="Z135">
            <v>60.133508629877703</v>
          </cell>
          <cell r="AA135">
            <v>31.490313011943702</v>
          </cell>
          <cell r="AB135">
            <v>40.171802002472802</v>
          </cell>
          <cell r="AC135">
            <v>41.865931816167198</v>
          </cell>
          <cell r="AD135">
            <v>13.1782395725324</v>
          </cell>
          <cell r="AE135">
            <v>4.4967505820031901</v>
          </cell>
          <cell r="AF135">
            <v>5.2825059178979599</v>
          </cell>
          <cell r="AG135">
            <v>12.921476857330999</v>
          </cell>
          <cell r="AH135">
            <v>34.629643705083701</v>
          </cell>
          <cell r="AI135">
            <v>54.498897173564501</v>
          </cell>
          <cell r="AJ135">
            <v>13.648730914474999</v>
          </cell>
          <cell r="AK135">
            <v>21.708166847752601</v>
          </cell>
          <cell r="AL135">
            <v>65.370356294916405</v>
          </cell>
          <cell r="AM135">
            <v>19.8692534684808</v>
          </cell>
          <cell r="AN135">
            <v>51.927633547993402</v>
          </cell>
          <cell r="AO135">
            <v>58.728305317590397</v>
          </cell>
          <cell r="AP135">
            <v>60.882591388457001</v>
          </cell>
          <cell r="AQ135">
            <v>32.058380079512503</v>
          </cell>
          <cell r="AR135">
            <v>41.013337919976202</v>
          </cell>
          <cell r="AS135">
            <v>13.442722746923</v>
          </cell>
        </row>
        <row r="136">
          <cell r="C136" t="str">
            <v>Palau</v>
          </cell>
          <cell r="D136" t="str">
            <v>US Dollar</v>
          </cell>
          <cell r="E136" t="str">
            <v>USD</v>
          </cell>
          <cell r="F136">
            <v>1.3988592400000002</v>
          </cell>
          <cell r="G136" t="e">
            <v>#N/A</v>
          </cell>
          <cell r="H136" t="e">
            <v>#N/A</v>
          </cell>
          <cell r="I136">
            <v>0.78600000000000003</v>
          </cell>
          <cell r="J136">
            <v>13.1</v>
          </cell>
          <cell r="K136">
            <v>0</v>
          </cell>
          <cell r="L136">
            <v>9</v>
          </cell>
          <cell r="M136">
            <v>16.399999999999999</v>
          </cell>
          <cell r="N136" t="e">
            <v>#N/A</v>
          </cell>
          <cell r="O136" t="e">
            <v>#N/A</v>
          </cell>
          <cell r="P136" t="e">
            <v>#N/A</v>
          </cell>
          <cell r="Q136" t="e">
            <v>#N/A</v>
          </cell>
          <cell r="R136" t="e">
            <v>#N/A</v>
          </cell>
          <cell r="S136" t="e">
            <v>#N/A</v>
          </cell>
          <cell r="T136" t="e">
            <v>#N/A</v>
          </cell>
          <cell r="U136" t="e">
            <v>#N/A</v>
          </cell>
          <cell r="V136" t="e">
            <v>#N/A</v>
          </cell>
          <cell r="W136" t="e">
            <v>#N/A</v>
          </cell>
          <cell r="X136" t="e">
            <v>#N/A</v>
          </cell>
          <cell r="Y136" t="e">
            <v>#N/A</v>
          </cell>
          <cell r="Z136" t="e">
            <v>#N/A</v>
          </cell>
          <cell r="AA136" t="e">
            <v>#N/A</v>
          </cell>
          <cell r="AB136" t="e">
            <v>#N/A</v>
          </cell>
          <cell r="AC136" t="e">
            <v>#N/A</v>
          </cell>
          <cell r="AD136" t="e">
            <v>#N/A</v>
          </cell>
          <cell r="AE136" t="e">
            <v>#N/A</v>
          </cell>
          <cell r="AF136" t="e">
            <v>#N/A</v>
          </cell>
          <cell r="AG136" t="e">
            <v>#N/A</v>
          </cell>
          <cell r="AH136" t="e">
            <v>#N/A</v>
          </cell>
          <cell r="AI136" t="e">
            <v>#N/A</v>
          </cell>
          <cell r="AJ136" t="e">
            <v>#N/A</v>
          </cell>
          <cell r="AK136" t="e">
            <v>#N/A</v>
          </cell>
          <cell r="AL136" t="e">
            <v>#N/A</v>
          </cell>
          <cell r="AM136" t="e">
            <v>#N/A</v>
          </cell>
          <cell r="AN136" t="e">
            <v>#N/A</v>
          </cell>
          <cell r="AO136" t="e">
            <v>#N/A</v>
          </cell>
          <cell r="AP136" t="e">
            <v>#N/A</v>
          </cell>
          <cell r="AQ136" t="e">
            <v>#N/A</v>
          </cell>
          <cell r="AR136" t="e">
            <v>#N/A</v>
          </cell>
          <cell r="AS136" t="e">
            <v>#N/A</v>
          </cell>
        </row>
        <row r="137">
          <cell r="C137" t="str">
            <v>Panama</v>
          </cell>
          <cell r="D137" t="str">
            <v>Balboa</v>
          </cell>
          <cell r="E137" t="str">
            <v>PAB</v>
          </cell>
          <cell r="F137">
            <v>1</v>
          </cell>
          <cell r="G137" t="e">
            <v>#N/A</v>
          </cell>
          <cell r="H137" t="e">
            <v>#N/A</v>
          </cell>
          <cell r="I137">
            <v>1.6359999999999999</v>
          </cell>
          <cell r="J137">
            <v>19.68</v>
          </cell>
          <cell r="K137">
            <v>94</v>
          </cell>
          <cell r="L137">
            <v>9.6</v>
          </cell>
          <cell r="M137">
            <v>17</v>
          </cell>
          <cell r="N137">
            <v>1969.74</v>
          </cell>
          <cell r="O137">
            <v>1959.4010000000001</v>
          </cell>
          <cell r="P137">
            <v>3.8411160863870402</v>
          </cell>
          <cell r="Q137">
            <v>9.5500929056626696</v>
          </cell>
          <cell r="R137">
            <v>27.643242255322999</v>
          </cell>
          <cell r="S137">
            <v>44.778904830079099</v>
          </cell>
          <cell r="T137">
            <v>11.0196269558419</v>
          </cell>
          <cell r="U137">
            <v>18.093149349660401</v>
          </cell>
          <cell r="V137">
            <v>72.356757744676898</v>
          </cell>
          <cell r="W137">
            <v>17.1356625747561</v>
          </cell>
          <cell r="X137">
            <v>52.765796501060997</v>
          </cell>
          <cell r="Y137">
            <v>62.025191141978098</v>
          </cell>
          <cell r="Z137">
            <v>65.238051722562403</v>
          </cell>
          <cell r="AA137">
            <v>35.630133926305</v>
          </cell>
          <cell r="AB137">
            <v>48.102389147806299</v>
          </cell>
          <cell r="AC137">
            <v>50.548448018520197</v>
          </cell>
          <cell r="AD137">
            <v>19.590961243615901</v>
          </cell>
          <cell r="AE137">
            <v>7.1187060221145897</v>
          </cell>
          <cell r="AF137">
            <v>3.70240701112228</v>
          </cell>
          <cell r="AG137">
            <v>9.2015365920503296</v>
          </cell>
          <cell r="AH137">
            <v>26.68335884283</v>
          </cell>
          <cell r="AI137">
            <v>43.408061953627701</v>
          </cell>
          <cell r="AJ137">
            <v>10.629932310946</v>
          </cell>
          <cell r="AK137">
            <v>17.4818222507797</v>
          </cell>
          <cell r="AL137">
            <v>73.316641157169997</v>
          </cell>
          <cell r="AM137">
            <v>16.724703110797599</v>
          </cell>
          <cell r="AN137">
            <v>52.199728386379299</v>
          </cell>
          <cell r="AO137">
            <v>61.746727698924303</v>
          </cell>
          <cell r="AP137">
            <v>65.168079428355895</v>
          </cell>
          <cell r="AQ137">
            <v>35.4750252755817</v>
          </cell>
          <cell r="AR137">
            <v>48.443376317558297</v>
          </cell>
          <cell r="AS137">
            <v>21.116912770790702</v>
          </cell>
        </row>
        <row r="138">
          <cell r="C138" t="str">
            <v>Papua New Guinea</v>
          </cell>
          <cell r="D138" t="str">
            <v>Kina</v>
          </cell>
          <cell r="E138" t="str">
            <v>PGK</v>
          </cell>
          <cell r="F138">
            <v>1</v>
          </cell>
          <cell r="G138" t="e">
            <v>#N/A</v>
          </cell>
          <cell r="H138" t="e">
            <v>#N/A</v>
          </cell>
          <cell r="I138">
            <v>2.1360000000000001</v>
          </cell>
          <cell r="J138">
            <v>28.899000000000001</v>
          </cell>
          <cell r="K138">
            <v>215</v>
          </cell>
          <cell r="L138">
            <v>24.5</v>
          </cell>
          <cell r="M138">
            <v>57.3</v>
          </cell>
          <cell r="N138">
            <v>3886.788</v>
          </cell>
          <cell r="O138">
            <v>3732.5329999999999</v>
          </cell>
          <cell r="P138">
            <v>5.3798149011471699</v>
          </cell>
          <cell r="Q138">
            <v>13.2956312513057</v>
          </cell>
          <cell r="R138">
            <v>37.7544903400957</v>
          </cell>
          <cell r="S138">
            <v>57.703738922729997</v>
          </cell>
          <cell r="T138">
            <v>15.088345441017101</v>
          </cell>
          <cell r="U138">
            <v>24.45885908879</v>
          </cell>
          <cell r="V138">
            <v>62.2455096599043</v>
          </cell>
          <cell r="W138">
            <v>19.949248582634301</v>
          </cell>
          <cell r="X138">
            <v>51.8698472877862</v>
          </cell>
          <cell r="Y138">
            <v>57.835338588057802</v>
          </cell>
          <cell r="Z138">
            <v>59.740665042703597</v>
          </cell>
          <cell r="AA138">
            <v>31.9205987051519</v>
          </cell>
          <cell r="AB138">
            <v>39.7914164600693</v>
          </cell>
          <cell r="AC138">
            <v>41.000949884583399</v>
          </cell>
          <cell r="AD138">
            <v>10.3756623721181</v>
          </cell>
          <cell r="AE138">
            <v>2.50484461720063</v>
          </cell>
          <cell r="AF138">
            <v>5.1921845031242899</v>
          </cell>
          <cell r="AG138">
            <v>12.831982999212601</v>
          </cell>
          <cell r="AH138">
            <v>36.504593529380699</v>
          </cell>
          <cell r="AI138">
            <v>56.047649143356502</v>
          </cell>
          <cell r="AJ138">
            <v>14.583367380810801</v>
          </cell>
          <cell r="AK138">
            <v>23.6726105301681</v>
          </cell>
          <cell r="AL138">
            <v>63.495406470619301</v>
          </cell>
          <cell r="AM138">
            <v>19.543055613975799</v>
          </cell>
          <cell r="AN138">
            <v>51.356598856594204</v>
          </cell>
          <cell r="AO138">
            <v>57.732376378186103</v>
          </cell>
          <cell r="AP138">
            <v>59.960005711938798</v>
          </cell>
          <cell r="AQ138">
            <v>31.813543242618302</v>
          </cell>
          <cell r="AR138">
            <v>40.416950097963003</v>
          </cell>
          <cell r="AS138">
            <v>12.138807614025099</v>
          </cell>
        </row>
        <row r="139">
          <cell r="C139" t="str">
            <v>Paraguay</v>
          </cell>
          <cell r="D139" t="str">
            <v>Guarani</v>
          </cell>
          <cell r="E139" t="str">
            <v>PYG</v>
          </cell>
          <cell r="F139">
            <v>1</v>
          </cell>
          <cell r="G139" t="e">
            <v>#N/A</v>
          </cell>
          <cell r="H139" t="e">
            <v>#N/A</v>
          </cell>
          <cell r="I139">
            <v>1.337</v>
          </cell>
          <cell r="J139">
            <v>21.588000000000001</v>
          </cell>
          <cell r="K139">
            <v>132</v>
          </cell>
          <cell r="L139">
            <v>10.9</v>
          </cell>
          <cell r="M139">
            <v>20.5</v>
          </cell>
          <cell r="N139">
            <v>3369.1260000000002</v>
          </cell>
          <cell r="O139">
            <v>3269.9969999999998</v>
          </cell>
          <cell r="P139">
            <v>4.0504273215071196</v>
          </cell>
          <cell r="Q139">
            <v>10.1954334744382</v>
          </cell>
          <cell r="R139">
            <v>30.261765217448101</v>
          </cell>
          <cell r="S139">
            <v>50.480035475075702</v>
          </cell>
          <cell r="T139">
            <v>12.1138241787336</v>
          </cell>
          <cell r="U139">
            <v>20.066331743009901</v>
          </cell>
          <cell r="V139">
            <v>69.738234782551899</v>
          </cell>
          <cell r="W139">
            <v>20.218270257627701</v>
          </cell>
          <cell r="X139">
            <v>53.459057334157301</v>
          </cell>
          <cell r="Y139">
            <v>61.080024908537098</v>
          </cell>
          <cell r="Z139">
            <v>64.068366692133196</v>
          </cell>
          <cell r="AA139">
            <v>33.2407870765296</v>
          </cell>
          <cell r="AB139">
            <v>43.850096434505602</v>
          </cell>
          <cell r="AC139">
            <v>46.013832667582101</v>
          </cell>
          <cell r="AD139">
            <v>16.279177448394599</v>
          </cell>
          <cell r="AE139">
            <v>5.6698680904187002</v>
          </cell>
          <cell r="AF139">
            <v>4.0064562750363404</v>
          </cell>
          <cell r="AG139">
            <v>10.100682049555401</v>
          </cell>
          <cell r="AH139">
            <v>30.002015292368799</v>
          </cell>
          <cell r="AI139">
            <v>50.047354783505902</v>
          </cell>
          <cell r="AJ139">
            <v>12.0218764726696</v>
          </cell>
          <cell r="AK139">
            <v>19.901333242813401</v>
          </cell>
          <cell r="AL139">
            <v>69.997984707631204</v>
          </cell>
          <cell r="AM139">
            <v>20.045339491137099</v>
          </cell>
          <cell r="AN139">
            <v>53.040537957680101</v>
          </cell>
          <cell r="AO139">
            <v>60.634520459804698</v>
          </cell>
          <cell r="AP139">
            <v>63.616296895685203</v>
          </cell>
          <cell r="AQ139">
            <v>32.995198466542902</v>
          </cell>
          <cell r="AR139">
            <v>43.570957404548103</v>
          </cell>
          <cell r="AS139">
            <v>16.957446749951099</v>
          </cell>
        </row>
        <row r="140">
          <cell r="C140" t="str">
            <v>Peru</v>
          </cell>
          <cell r="D140" t="str">
            <v>Nuevo Sol</v>
          </cell>
          <cell r="E140" t="str">
            <v>PEN</v>
          </cell>
          <cell r="F140">
            <v>4.4449947488584476</v>
          </cell>
          <cell r="G140" t="e">
            <v>#N/A</v>
          </cell>
          <cell r="H140" t="e">
            <v>#N/A</v>
          </cell>
          <cell r="I140">
            <v>1.319</v>
          </cell>
          <cell r="J140">
            <v>20.198</v>
          </cell>
          <cell r="K140">
            <v>68</v>
          </cell>
          <cell r="L140">
            <v>8.1999999999999993</v>
          </cell>
          <cell r="M140">
            <v>16.899999999999999</v>
          </cell>
          <cell r="N140">
            <v>15673.108</v>
          </cell>
          <cell r="O140">
            <v>15703.562</v>
          </cell>
          <cell r="P140">
            <v>3.9931709779579099</v>
          </cell>
          <cell r="Q140">
            <v>9.8330465150881405</v>
          </cell>
          <cell r="R140">
            <v>28.512921623458499</v>
          </cell>
          <cell r="S140">
            <v>46.736033465730003</v>
          </cell>
          <cell r="T140">
            <v>11.3098499672177</v>
          </cell>
          <cell r="U140">
            <v>18.6798751083703</v>
          </cell>
          <cell r="V140">
            <v>71.487078376541504</v>
          </cell>
          <cell r="W140">
            <v>18.2231118422715</v>
          </cell>
          <cell r="X140">
            <v>53.917359594536101</v>
          </cell>
          <cell r="Y140">
            <v>62.2996281273631</v>
          </cell>
          <cell r="Z140">
            <v>65.277697314406296</v>
          </cell>
          <cell r="AA140">
            <v>35.694247752264602</v>
          </cell>
          <cell r="AB140">
            <v>47.054585472134796</v>
          </cell>
          <cell r="AC140">
            <v>49.323127231688801</v>
          </cell>
          <cell r="AD140">
            <v>17.569718782005499</v>
          </cell>
          <cell r="AE140">
            <v>6.2093810621352201</v>
          </cell>
          <cell r="AF140">
            <v>3.8171212365703999</v>
          </cell>
          <cell r="AG140">
            <v>9.4175321497122795</v>
          </cell>
          <cell r="AH140">
            <v>27.279511489176802</v>
          </cell>
          <cell r="AI140">
            <v>44.669636099122002</v>
          </cell>
          <cell r="AJ140">
            <v>10.8398018233061</v>
          </cell>
          <cell r="AK140">
            <v>17.861979339464501</v>
          </cell>
          <cell r="AL140">
            <v>72.720488510823202</v>
          </cell>
          <cell r="AM140">
            <v>17.3901246099452</v>
          </cell>
          <cell r="AN140">
            <v>52.920254653052602</v>
          </cell>
          <cell r="AO140">
            <v>61.9761682094801</v>
          </cell>
          <cell r="AP140">
            <v>65.280775151523002</v>
          </cell>
          <cell r="AQ140">
            <v>35.530130043107398</v>
          </cell>
          <cell r="AR140">
            <v>47.890650541577799</v>
          </cell>
          <cell r="AS140">
            <v>19.8002338577706</v>
          </cell>
        </row>
        <row r="141">
          <cell r="C141" t="str">
            <v>Philippines</v>
          </cell>
          <cell r="D141" t="str">
            <v>Philippine Peso</v>
          </cell>
          <cell r="E141" t="str">
            <v>PHP</v>
          </cell>
          <cell r="F141">
            <v>63.64737553648073</v>
          </cell>
          <cell r="G141" t="e">
            <v>#N/A</v>
          </cell>
          <cell r="H141" t="e">
            <v>#N/A</v>
          </cell>
          <cell r="I141">
            <v>1.5820000000000001</v>
          </cell>
          <cell r="J141">
            <v>23.79</v>
          </cell>
          <cell r="K141">
            <v>114</v>
          </cell>
          <cell r="L141">
            <v>12.6</v>
          </cell>
          <cell r="M141">
            <v>28</v>
          </cell>
          <cell r="N141">
            <v>50812.555999999997</v>
          </cell>
          <cell r="O141">
            <v>49886.839</v>
          </cell>
          <cell r="P141">
            <v>4.6667914127366501</v>
          </cell>
          <cell r="Q141">
            <v>11.364907524037999</v>
          </cell>
          <cell r="R141">
            <v>32.635293922234503</v>
          </cell>
          <cell r="S141">
            <v>52.484004150470199</v>
          </cell>
          <cell r="T141">
            <v>12.8570229767619</v>
          </cell>
          <cell r="U141">
            <v>21.2703863981965</v>
          </cell>
          <cell r="V141">
            <v>67.364706077765504</v>
          </cell>
          <cell r="W141">
            <v>19.848710228235699</v>
          </cell>
          <cell r="X141">
            <v>53.001031870941503</v>
          </cell>
          <cell r="Y141">
            <v>60.952899122020099</v>
          </cell>
          <cell r="Z141">
            <v>63.519062099533002</v>
          </cell>
          <cell r="AA141">
            <v>33.1523216427058</v>
          </cell>
          <cell r="AB141">
            <v>43.670351871297299</v>
          </cell>
          <cell r="AC141">
            <v>45.410453274580398</v>
          </cell>
          <cell r="AD141">
            <v>14.363674206823999</v>
          </cell>
          <cell r="AE141">
            <v>3.8456439782324701</v>
          </cell>
          <cell r="AF141">
            <v>4.4417205908756801</v>
          </cell>
          <cell r="AG141">
            <v>10.9851838878787</v>
          </cell>
          <cell r="AH141">
            <v>31.249033437456301</v>
          </cell>
          <cell r="AI141">
            <v>50.5291525887218</v>
          </cell>
          <cell r="AJ141">
            <v>12.416256720534999</v>
          </cell>
          <cell r="AK141">
            <v>20.2638495495776</v>
          </cell>
          <cell r="AL141">
            <v>68.750966562543695</v>
          </cell>
          <cell r="AM141">
            <v>19.280119151265499</v>
          </cell>
          <cell r="AN141">
            <v>52.329437028471602</v>
          </cell>
          <cell r="AO141">
            <v>60.607241521155501</v>
          </cell>
          <cell r="AP141">
            <v>63.423699785829299</v>
          </cell>
          <cell r="AQ141">
            <v>33.049317877206001</v>
          </cell>
          <cell r="AR141">
            <v>44.143580634563698</v>
          </cell>
          <cell r="AS141">
            <v>16.4215295340721</v>
          </cell>
        </row>
        <row r="142">
          <cell r="C142" t="str">
            <v>Poland</v>
          </cell>
          <cell r="D142" t="str">
            <v>Zloty</v>
          </cell>
          <cell r="E142" t="str">
            <v>PLN</v>
          </cell>
          <cell r="F142">
            <v>5.2761036885245902</v>
          </cell>
          <cell r="G142" t="e">
            <v>#N/A</v>
          </cell>
          <cell r="H142" t="e">
            <v>#N/A</v>
          </cell>
          <cell r="I142">
            <v>1.9E-2</v>
          </cell>
          <cell r="J142">
            <v>9.6</v>
          </cell>
          <cell r="K142">
            <v>3</v>
          </cell>
          <cell r="L142">
            <v>3.1</v>
          </cell>
          <cell r="M142">
            <v>5.2</v>
          </cell>
          <cell r="N142">
            <v>18673.687000000002</v>
          </cell>
          <cell r="O142">
            <v>19938.107</v>
          </cell>
          <cell r="P142">
            <v>2.0586400532471201</v>
          </cell>
          <cell r="Q142">
            <v>5.4835609057814896</v>
          </cell>
          <cell r="R142">
            <v>15.8614150488867</v>
          </cell>
          <cell r="S142">
            <v>28.101959725468301</v>
          </cell>
          <cell r="T142">
            <v>6.5363845929301503</v>
          </cell>
          <cell r="U142">
            <v>10.3778541431052</v>
          </cell>
          <cell r="V142">
            <v>84.138584951113302</v>
          </cell>
          <cell r="W142">
            <v>12.2405446765815</v>
          </cell>
          <cell r="X142">
            <v>50.810185476494297</v>
          </cell>
          <cell r="Y142">
            <v>64.828295558343697</v>
          </cell>
          <cell r="Z142">
            <v>71.6783728890818</v>
          </cell>
          <cell r="AA142">
            <v>38.569640799912698</v>
          </cell>
          <cell r="AB142">
            <v>59.4378282125003</v>
          </cell>
          <cell r="AC142">
            <v>64.336555496512304</v>
          </cell>
          <cell r="AD142">
            <v>33.328399474618998</v>
          </cell>
          <cell r="AE142">
            <v>12.4602120620315</v>
          </cell>
          <cell r="AF142">
            <v>1.8276710020665501</v>
          </cell>
          <cell r="AG142">
            <v>4.8676336223895298</v>
          </cell>
          <cell r="AH142">
            <v>14.0891810842424</v>
          </cell>
          <cell r="AI142">
            <v>25.0560145955682</v>
          </cell>
          <cell r="AJ142">
            <v>5.8042471133292697</v>
          </cell>
          <cell r="AK142">
            <v>9.2215474618528201</v>
          </cell>
          <cell r="AL142">
            <v>85.910818915757602</v>
          </cell>
          <cell r="AM142">
            <v>10.966833511325801</v>
          </cell>
          <cell r="AN142">
            <v>46.295794279767897</v>
          </cell>
          <cell r="AO142">
            <v>60.097886925774802</v>
          </cell>
          <cell r="AP142">
            <v>67.499271620921704</v>
          </cell>
          <cell r="AQ142">
            <v>35.328960768442101</v>
          </cell>
          <cell r="AR142">
            <v>56.532438109595901</v>
          </cell>
          <cell r="AS142">
            <v>39.615024635989798</v>
          </cell>
        </row>
        <row r="143">
          <cell r="C143" t="str">
            <v>Portugal</v>
          </cell>
          <cell r="D143" t="str">
            <v>Euro</v>
          </cell>
          <cell r="E143" t="str">
            <v>EUR</v>
          </cell>
          <cell r="F143">
            <v>1.2617355060728741</v>
          </cell>
          <cell r="G143" t="e">
            <v>#N/A</v>
          </cell>
          <cell r="H143" t="e">
            <v>#N/A</v>
          </cell>
          <cell r="I143">
            <v>-0.44900000000000001</v>
          </cell>
          <cell r="J143">
            <v>7.9</v>
          </cell>
          <cell r="K143">
            <v>10</v>
          </cell>
          <cell r="L143">
            <v>2</v>
          </cell>
          <cell r="M143">
            <v>3.6</v>
          </cell>
          <cell r="N143">
            <v>4900.5389999999998</v>
          </cell>
          <cell r="O143">
            <v>5449.2640000000001</v>
          </cell>
          <cell r="P143">
            <v>1.7891093204237301</v>
          </cell>
          <cell r="Q143">
            <v>4.6060647614476702</v>
          </cell>
          <cell r="R143">
            <v>15.200327963924</v>
          </cell>
          <cell r="S143">
            <v>26.215463237819399</v>
          </cell>
          <cell r="T143">
            <v>6.1688316326020498</v>
          </cell>
          <cell r="U143">
            <v>10.5942632024763</v>
          </cell>
          <cell r="V143">
            <v>84.799672036076004</v>
          </cell>
          <cell r="W143">
            <v>11.0151352738954</v>
          </cell>
          <cell r="X143">
            <v>46.138924718280997</v>
          </cell>
          <cell r="Y143">
            <v>60.191195295048203</v>
          </cell>
          <cell r="Z143">
            <v>66.3834325163008</v>
          </cell>
          <cell r="AA143">
            <v>35.123789444385601</v>
          </cell>
          <cell r="AB143">
            <v>55.368297242405397</v>
          </cell>
          <cell r="AC143">
            <v>60.984250916072703</v>
          </cell>
          <cell r="AD143">
            <v>38.660747317795</v>
          </cell>
          <cell r="AE143">
            <v>18.416239519775299</v>
          </cell>
          <cell r="AF143">
            <v>1.49277039981913</v>
          </cell>
          <cell r="AG143">
            <v>3.90986746100024</v>
          </cell>
          <cell r="AH143">
            <v>13.0218135880368</v>
          </cell>
          <cell r="AI143">
            <v>23.0215493321667</v>
          </cell>
          <cell r="AJ143">
            <v>5.31178155435303</v>
          </cell>
          <cell r="AK143">
            <v>9.1119461270365996</v>
          </cell>
          <cell r="AL143">
            <v>86.978186411963193</v>
          </cell>
          <cell r="AM143">
            <v>9.9997357441298504</v>
          </cell>
          <cell r="AN143">
            <v>43.697112123765699</v>
          </cell>
          <cell r="AO143">
            <v>57.703388934725901</v>
          </cell>
          <cell r="AP143">
            <v>64.050668126925004</v>
          </cell>
          <cell r="AQ143">
            <v>33.697376379635898</v>
          </cell>
          <cell r="AR143">
            <v>54.050932382795203</v>
          </cell>
          <cell r="AS143">
            <v>43.281074288197502</v>
          </cell>
        </row>
        <row r="144">
          <cell r="C144" t="str">
            <v>Qatar</v>
          </cell>
          <cell r="D144" t="str">
            <v>Qatari Rial</v>
          </cell>
          <cell r="E144" t="str">
            <v>QAR</v>
          </cell>
          <cell r="F144">
            <v>5.0916701209677404</v>
          </cell>
          <cell r="G144" t="e">
            <v>#N/A</v>
          </cell>
          <cell r="H144" t="e">
            <v>#N/A</v>
          </cell>
          <cell r="I144">
            <v>4.7190000000000003</v>
          </cell>
          <cell r="J144">
            <v>11.94</v>
          </cell>
          <cell r="K144">
            <v>13</v>
          </cell>
          <cell r="L144">
            <v>3.8</v>
          </cell>
          <cell r="M144">
            <v>8</v>
          </cell>
          <cell r="N144">
            <v>1623.7190000000001</v>
          </cell>
          <cell r="O144">
            <v>611.63599999999997</v>
          </cell>
          <cell r="P144">
            <v>1.7691484795090799</v>
          </cell>
          <cell r="Q144">
            <v>4.1573080071120696</v>
          </cell>
          <cell r="R144">
            <v>11.2472663065469</v>
          </cell>
          <cell r="S144">
            <v>26.471883373908899</v>
          </cell>
          <cell r="T144">
            <v>4.22640863351356</v>
          </cell>
          <cell r="U144">
            <v>7.0899582994348203</v>
          </cell>
          <cell r="V144">
            <v>88.752733693453095</v>
          </cell>
          <cell r="W144">
            <v>15.224617067362001</v>
          </cell>
          <cell r="X144">
            <v>80.254834734335205</v>
          </cell>
          <cell r="Y144">
            <v>86.576864592949903</v>
          </cell>
          <cell r="Z144">
            <v>87.667816906743099</v>
          </cell>
          <cell r="AA144">
            <v>65.030217666973201</v>
          </cell>
          <cell r="AB144">
            <v>72.443199839381094</v>
          </cell>
          <cell r="AC144">
            <v>72.837664645175707</v>
          </cell>
          <cell r="AD144">
            <v>8.4978989591179204</v>
          </cell>
          <cell r="AE144">
            <v>1.08491678671002</v>
          </cell>
          <cell r="AF144">
            <v>4.4366257054849596</v>
          </cell>
          <cell r="AG144">
            <v>10.6071258068524</v>
          </cell>
          <cell r="AH144">
            <v>26.868595046727101</v>
          </cell>
          <cell r="AI144">
            <v>39.8567121621357</v>
          </cell>
          <cell r="AJ144">
            <v>10.5083742618159</v>
          </cell>
          <cell r="AK144">
            <v>16.2614692398747</v>
          </cell>
          <cell r="AL144">
            <v>73.131404953272906</v>
          </cell>
          <cell r="AM144">
            <v>12.9881171154085</v>
          </cell>
          <cell r="AN144">
            <v>65.720788181205805</v>
          </cell>
          <cell r="AO144">
            <v>70.639236408582903</v>
          </cell>
          <cell r="AP144">
            <v>71.687735842886994</v>
          </cell>
          <cell r="AQ144">
            <v>52.732671065797298</v>
          </cell>
          <cell r="AR144">
            <v>58.699618727478502</v>
          </cell>
          <cell r="AS144">
            <v>7.4106167720670504</v>
          </cell>
        </row>
        <row r="145">
          <cell r="C145" t="str">
            <v>Republic of Korea</v>
          </cell>
          <cell r="D145" t="str">
            <v>South Korean Won</v>
          </cell>
          <cell r="E145" t="str">
            <v>KRW</v>
          </cell>
          <cell r="F145">
            <v>1582.5193750000001</v>
          </cell>
          <cell r="G145" t="e">
            <v>#N/A</v>
          </cell>
          <cell r="H145" t="e">
            <v>#N/A</v>
          </cell>
          <cell r="I145">
            <v>0.48399999999999999</v>
          </cell>
          <cell r="J145">
            <v>8.6</v>
          </cell>
          <cell r="K145">
            <v>11</v>
          </cell>
          <cell r="L145">
            <v>1.6</v>
          </cell>
          <cell r="M145">
            <v>3.4</v>
          </cell>
          <cell r="N145">
            <v>24995.027999999998</v>
          </cell>
          <cell r="O145">
            <v>25298.411</v>
          </cell>
          <cell r="P145">
            <v>1.9008500410561699</v>
          </cell>
          <cell r="Q145">
            <v>4.7276922434333697</v>
          </cell>
          <cell r="R145">
            <v>14.5571831325814</v>
          </cell>
          <cell r="S145">
            <v>28.829929696417999</v>
          </cell>
          <cell r="T145">
            <v>5.6412019222382899</v>
          </cell>
          <cell r="U145">
            <v>9.8294908891480297</v>
          </cell>
          <cell r="V145">
            <v>85.4428168674186</v>
          </cell>
          <cell r="W145">
            <v>14.2727465638366</v>
          </cell>
          <cell r="X145">
            <v>53.547649556543803</v>
          </cell>
          <cell r="Y145">
            <v>69.160978735450897</v>
          </cell>
          <cell r="Z145">
            <v>74.4479582099288</v>
          </cell>
          <cell r="AA145">
            <v>39.274902992707197</v>
          </cell>
          <cell r="AB145">
            <v>60.175211646092201</v>
          </cell>
          <cell r="AC145">
            <v>64.190154137854904</v>
          </cell>
          <cell r="AD145">
            <v>31.8951673108748</v>
          </cell>
          <cell r="AE145">
            <v>10.9948586574898</v>
          </cell>
          <cell r="AF145">
            <v>1.7421291795757401</v>
          </cell>
          <cell r="AG145">
            <v>4.3702270470663098</v>
          </cell>
          <cell r="AH145">
            <v>13.4349860945812</v>
          </cell>
          <cell r="AI145">
            <v>26.153824443756601</v>
          </cell>
          <cell r="AJ145">
            <v>5.2407955582664902</v>
          </cell>
          <cell r="AK145">
            <v>9.0647590475148796</v>
          </cell>
          <cell r="AL145">
            <v>86.565013905418795</v>
          </cell>
          <cell r="AM145">
            <v>12.7188383491754</v>
          </cell>
          <cell r="AN145">
            <v>50.107933656386599</v>
          </cell>
          <cell r="AO145">
            <v>65.792578830346301</v>
          </cell>
          <cell r="AP145">
            <v>71.331602605396796</v>
          </cell>
          <cell r="AQ145">
            <v>37.3890953072112</v>
          </cell>
          <cell r="AR145">
            <v>58.612764256221503</v>
          </cell>
          <cell r="AS145">
            <v>36.457080249032202</v>
          </cell>
        </row>
        <row r="146">
          <cell r="C146" t="str">
            <v>Republic of Moldova</v>
          </cell>
          <cell r="D146" t="str">
            <v>Moldovan Leu</v>
          </cell>
          <cell r="E146" t="str">
            <v>MDL</v>
          </cell>
          <cell r="F146">
            <v>1</v>
          </cell>
          <cell r="G146" t="e">
            <v>#N/A</v>
          </cell>
          <cell r="H146" t="e">
            <v>#N/A</v>
          </cell>
          <cell r="I146">
            <v>-7.5999999999999998E-2</v>
          </cell>
          <cell r="J146">
            <v>12.141</v>
          </cell>
          <cell r="K146">
            <v>23</v>
          </cell>
          <cell r="L146">
            <v>11.9</v>
          </cell>
          <cell r="M146">
            <v>15.8</v>
          </cell>
          <cell r="N146">
            <v>1955.8589999999999</v>
          </cell>
          <cell r="O146">
            <v>2113.038</v>
          </cell>
          <cell r="P146">
            <v>2.3094711837611999</v>
          </cell>
          <cell r="Q146">
            <v>5.8854958358450196</v>
          </cell>
          <cell r="R146">
            <v>16.869723226469802</v>
          </cell>
          <cell r="S146">
            <v>31.831128931073199</v>
          </cell>
          <cell r="T146">
            <v>6.7362217828585802</v>
          </cell>
          <cell r="U146">
            <v>10.984227390624801</v>
          </cell>
          <cell r="V146">
            <v>83.130276773530198</v>
          </cell>
          <cell r="W146">
            <v>14.9614057046035</v>
          </cell>
          <cell r="X146">
            <v>55.693329631635002</v>
          </cell>
          <cell r="Y146">
            <v>69.4262725482767</v>
          </cell>
          <cell r="Z146">
            <v>75.359880236765505</v>
          </cell>
          <cell r="AA146">
            <v>40.731923927031502</v>
          </cell>
          <cell r="AB146">
            <v>60.398474532162098</v>
          </cell>
          <cell r="AC146">
            <v>63.044626427569703</v>
          </cell>
          <cell r="AD146">
            <v>27.4369471418952</v>
          </cell>
          <cell r="AE146">
            <v>7.7703965367646601</v>
          </cell>
          <cell r="AF146">
            <v>1.9711902956785401</v>
          </cell>
          <cell r="AG146">
            <v>5.1025584963450701</v>
          </cell>
          <cell r="AH146">
            <v>14.6816100798944</v>
          </cell>
          <cell r="AI146">
            <v>28.027134391336102</v>
          </cell>
          <cell r="AJ146">
            <v>5.9029227112811</v>
          </cell>
          <cell r="AK146">
            <v>9.5790515835493704</v>
          </cell>
          <cell r="AL146">
            <v>85.318389920105602</v>
          </cell>
          <cell r="AM146">
            <v>13.345524311441601</v>
          </cell>
          <cell r="AN146">
            <v>51.125157238062002</v>
          </cell>
          <cell r="AO146">
            <v>66.103591132767207</v>
          </cell>
          <cell r="AP146">
            <v>73.335642804341404</v>
          </cell>
          <cell r="AQ146">
            <v>37.779632926620302</v>
          </cell>
          <cell r="AR146">
            <v>59.990118492899803</v>
          </cell>
          <cell r="AS146">
            <v>34.1932326820436</v>
          </cell>
        </row>
        <row r="147">
          <cell r="C147" t="str">
            <v>Romania</v>
          </cell>
          <cell r="D147" t="str">
            <v>Romanian New Leu</v>
          </cell>
          <cell r="E147" t="str">
            <v>RON</v>
          </cell>
          <cell r="F147">
            <v>1</v>
          </cell>
          <cell r="G147" t="e">
            <v>#N/A</v>
          </cell>
          <cell r="H147" t="e">
            <v>#N/A</v>
          </cell>
          <cell r="I147">
            <v>-0.79100000000000004</v>
          </cell>
          <cell r="J147">
            <v>8.8000000000000007</v>
          </cell>
          <cell r="K147">
            <v>31</v>
          </cell>
          <cell r="L147">
            <v>6.3</v>
          </cell>
          <cell r="M147">
            <v>11.1</v>
          </cell>
          <cell r="N147">
            <v>9450.9770000000008</v>
          </cell>
          <cell r="O147">
            <v>10060.347</v>
          </cell>
          <cell r="P147">
            <v>1.8583898786337101</v>
          </cell>
          <cell r="Q147">
            <v>5.0240943343741096</v>
          </cell>
          <cell r="R147">
            <v>16.447770426274399</v>
          </cell>
          <cell r="S147">
            <v>27.577921309087898</v>
          </cell>
          <cell r="T147">
            <v>6.8548151159398598</v>
          </cell>
          <cell r="U147">
            <v>11.423676091900299</v>
          </cell>
          <cell r="V147">
            <v>83.552229573725597</v>
          </cell>
          <cell r="W147">
            <v>11.130150882813499</v>
          </cell>
          <cell r="X147">
            <v>49.646708483154697</v>
          </cell>
          <cell r="Y147">
            <v>62.359849145755</v>
          </cell>
          <cell r="Z147">
            <v>69.153813409978696</v>
          </cell>
          <cell r="AA147">
            <v>38.516557600341201</v>
          </cell>
          <cell r="AB147">
            <v>58.0236625271652</v>
          </cell>
          <cell r="AC147">
            <v>63.067500852028303</v>
          </cell>
          <cell r="AD147">
            <v>33.9055210905709</v>
          </cell>
          <cell r="AE147">
            <v>14.3984161637469</v>
          </cell>
          <cell r="AF147">
            <v>1.6517819912175999</v>
          </cell>
          <cell r="AG147">
            <v>4.4672216574636998</v>
          </cell>
          <cell r="AH147">
            <v>14.6495543344578</v>
          </cell>
          <cell r="AI147">
            <v>24.5073455219785</v>
          </cell>
          <cell r="AJ147">
            <v>6.1068967104216201</v>
          </cell>
          <cell r="AK147">
            <v>10.1823326769941</v>
          </cell>
          <cell r="AL147">
            <v>85.350445665542196</v>
          </cell>
          <cell r="AM147">
            <v>9.8577911875206699</v>
          </cell>
          <cell r="AN147">
            <v>45.138025557170103</v>
          </cell>
          <cell r="AO147">
            <v>57.916779610086998</v>
          </cell>
          <cell r="AP147">
            <v>65.297469361643294</v>
          </cell>
          <cell r="AQ147">
            <v>35.280234369649499</v>
          </cell>
          <cell r="AR147">
            <v>55.439678174122598</v>
          </cell>
          <cell r="AS147">
            <v>40.212420108372001</v>
          </cell>
        </row>
        <row r="148">
          <cell r="C148" t="str">
            <v>Russian Federation</v>
          </cell>
          <cell r="D148" t="str">
            <v>Russian Rouble</v>
          </cell>
          <cell r="E148" t="str">
            <v>RUB</v>
          </cell>
          <cell r="F148">
            <v>85.746358227848091</v>
          </cell>
          <cell r="G148" t="e">
            <v>#N/A</v>
          </cell>
          <cell r="H148" t="e">
            <v>#N/A</v>
          </cell>
          <cell r="I148">
            <v>4.2000000000000003E-2</v>
          </cell>
          <cell r="J148">
            <v>13.2</v>
          </cell>
          <cell r="K148">
            <v>25</v>
          </cell>
          <cell r="L148">
            <v>5</v>
          </cell>
          <cell r="M148">
            <v>9.6</v>
          </cell>
          <cell r="N148">
            <v>66644.047000000006</v>
          </cell>
          <cell r="O148">
            <v>76812.870999999999</v>
          </cell>
          <cell r="P148">
            <v>2.950803692939</v>
          </cell>
          <cell r="Q148">
            <v>7.0653167266387698</v>
          </cell>
          <cell r="R148">
            <v>18.485763627169899</v>
          </cell>
          <cell r="S148">
            <v>30.234718488809701</v>
          </cell>
          <cell r="T148">
            <v>7.2166055581828603</v>
          </cell>
          <cell r="U148">
            <v>11.4204469005311</v>
          </cell>
          <cell r="V148">
            <v>81.514236372830098</v>
          </cell>
          <cell r="W148">
            <v>11.748954861639801</v>
          </cell>
          <cell r="X148">
            <v>51.474656093439201</v>
          </cell>
          <cell r="Y148">
            <v>66.219841060972797</v>
          </cell>
          <cell r="Z148">
            <v>72.157408147797497</v>
          </cell>
          <cell r="AA148">
            <v>39.725701231799398</v>
          </cell>
          <cell r="AB148">
            <v>60.408453286157702</v>
          </cell>
          <cell r="AC148">
            <v>63.861007720614602</v>
          </cell>
          <cell r="AD148">
            <v>30.039580279390901</v>
          </cell>
          <cell r="AE148">
            <v>9.3568282250326096</v>
          </cell>
          <cell r="AF148">
            <v>2.4125136528225899</v>
          </cell>
          <cell r="AG148">
            <v>5.8023817388624899</v>
          </cell>
          <cell r="AH148">
            <v>15.2476073964219</v>
          </cell>
          <cell r="AI148">
            <v>24.926132496727</v>
          </cell>
          <cell r="AJ148">
            <v>5.9741745624896696</v>
          </cell>
          <cell r="AK148">
            <v>9.4452256575593907</v>
          </cell>
          <cell r="AL148">
            <v>84.752392603578102</v>
          </cell>
          <cell r="AM148">
            <v>9.67852510030513</v>
          </cell>
          <cell r="AN148">
            <v>45.091974234370198</v>
          </cell>
          <cell r="AO148">
            <v>60.619267830778</v>
          </cell>
          <cell r="AP148">
            <v>67.908266311253996</v>
          </cell>
          <cell r="AQ148">
            <v>35.413449134064997</v>
          </cell>
          <cell r="AR148">
            <v>58.229741210948902</v>
          </cell>
          <cell r="AS148">
            <v>39.660418369207903</v>
          </cell>
        </row>
        <row r="149">
          <cell r="C149" t="str">
            <v>Rwanda</v>
          </cell>
          <cell r="D149" t="str">
            <v>Rwanda Franc</v>
          </cell>
          <cell r="E149" t="str">
            <v>RWF</v>
          </cell>
          <cell r="F149">
            <v>1</v>
          </cell>
          <cell r="G149" t="e">
            <v>#N/A</v>
          </cell>
          <cell r="H149" t="e">
            <v>#N/A</v>
          </cell>
          <cell r="I149">
            <v>2.4060000000000001</v>
          </cell>
          <cell r="J149">
            <v>32.689</v>
          </cell>
          <cell r="K149">
            <v>290</v>
          </cell>
          <cell r="L149">
            <v>18.7</v>
          </cell>
          <cell r="M149">
            <v>41.7</v>
          </cell>
          <cell r="N149">
            <v>5559.5659999999998</v>
          </cell>
          <cell r="O149">
            <v>6050.1</v>
          </cell>
          <cell r="P149">
            <v>6.01588325419646</v>
          </cell>
          <cell r="Q149">
            <v>15.2977408668231</v>
          </cell>
          <cell r="R149">
            <v>42.850772884070402</v>
          </cell>
          <cell r="S149">
            <v>62.713690241288603</v>
          </cell>
          <cell r="T149">
            <v>17.506690270427601</v>
          </cell>
          <cell r="U149">
            <v>27.5530320172474</v>
          </cell>
          <cell r="V149">
            <v>57.149227115929499</v>
          </cell>
          <cell r="W149">
            <v>19.862917357218201</v>
          </cell>
          <cell r="X149">
            <v>48.6789256571466</v>
          </cell>
          <cell r="Y149">
            <v>53.361665281066898</v>
          </cell>
          <cell r="Z149">
            <v>54.836474645682799</v>
          </cell>
          <cell r="AA149">
            <v>28.816008299928399</v>
          </cell>
          <cell r="AB149">
            <v>34.973557288464598</v>
          </cell>
          <cell r="AC149">
            <v>35.917569824694901</v>
          </cell>
          <cell r="AD149">
            <v>8.4703014587829308</v>
          </cell>
          <cell r="AE149">
            <v>2.3127524702467799</v>
          </cell>
          <cell r="AF149">
            <v>5.4686699393398497</v>
          </cell>
          <cell r="AG149">
            <v>13.956678402009899</v>
          </cell>
          <cell r="AH149">
            <v>39.399100841308403</v>
          </cell>
          <cell r="AI149">
            <v>58.166922860779202</v>
          </cell>
          <cell r="AJ149">
            <v>16.1318325316937</v>
          </cell>
          <cell r="AK149">
            <v>25.4424224392985</v>
          </cell>
          <cell r="AL149">
            <v>60.600899158691597</v>
          </cell>
          <cell r="AM149">
            <v>18.767822019470799</v>
          </cell>
          <cell r="AN149">
            <v>49.292805077601997</v>
          </cell>
          <cell r="AO149">
            <v>55.367332771359202</v>
          </cell>
          <cell r="AP149">
            <v>57.3726219401332</v>
          </cell>
          <cell r="AQ149">
            <v>30.524983058131301</v>
          </cell>
          <cell r="AR149">
            <v>38.604799920662501</v>
          </cell>
          <cell r="AS149">
            <v>11.3080940810896</v>
          </cell>
        </row>
        <row r="150">
          <cell r="C150" t="str">
            <v>Saint Kitts and Nevis</v>
          </cell>
          <cell r="D150" t="str">
            <v>East Caribbean Dollar</v>
          </cell>
          <cell r="E150" t="str">
            <v>XCD</v>
          </cell>
          <cell r="F150">
            <v>1</v>
          </cell>
          <cell r="G150" t="e">
            <v>#N/A</v>
          </cell>
          <cell r="H150" t="e">
            <v>#N/A</v>
          </cell>
          <cell r="I150">
            <v>1.194</v>
          </cell>
          <cell r="J150">
            <v>0</v>
          </cell>
          <cell r="K150">
            <v>0</v>
          </cell>
          <cell r="L150">
            <v>6.5</v>
          </cell>
          <cell r="M150">
            <v>10.5</v>
          </cell>
          <cell r="N150" t="e">
            <v>#N/A</v>
          </cell>
          <cell r="O150" t="e">
            <v>#N/A</v>
          </cell>
          <cell r="P150" t="e">
            <v>#N/A</v>
          </cell>
          <cell r="Q150" t="e">
            <v>#N/A</v>
          </cell>
          <cell r="R150" t="e">
            <v>#N/A</v>
          </cell>
          <cell r="S150" t="e">
            <v>#N/A</v>
          </cell>
          <cell r="T150" t="e">
            <v>#N/A</v>
          </cell>
          <cell r="U150" t="e">
            <v>#N/A</v>
          </cell>
          <cell r="V150" t="e">
            <v>#N/A</v>
          </cell>
          <cell r="W150" t="e">
            <v>#N/A</v>
          </cell>
          <cell r="X150" t="e">
            <v>#N/A</v>
          </cell>
          <cell r="Y150" t="e">
            <v>#N/A</v>
          </cell>
          <cell r="Z150" t="e">
            <v>#N/A</v>
          </cell>
          <cell r="AA150" t="e">
            <v>#N/A</v>
          </cell>
          <cell r="AB150" t="e">
            <v>#N/A</v>
          </cell>
          <cell r="AC150" t="e">
            <v>#N/A</v>
          </cell>
          <cell r="AD150" t="e">
            <v>#N/A</v>
          </cell>
          <cell r="AE150" t="e">
            <v>#N/A</v>
          </cell>
          <cell r="AF150" t="e">
            <v>#N/A</v>
          </cell>
          <cell r="AG150" t="e">
            <v>#N/A</v>
          </cell>
          <cell r="AH150" t="e">
            <v>#N/A</v>
          </cell>
          <cell r="AI150" t="e">
            <v>#N/A</v>
          </cell>
          <cell r="AJ150" t="e">
            <v>#N/A</v>
          </cell>
          <cell r="AK150" t="e">
            <v>#N/A</v>
          </cell>
          <cell r="AL150" t="e">
            <v>#N/A</v>
          </cell>
          <cell r="AM150" t="e">
            <v>#N/A</v>
          </cell>
          <cell r="AN150" t="e">
            <v>#N/A</v>
          </cell>
          <cell r="AO150" t="e">
            <v>#N/A</v>
          </cell>
          <cell r="AP150" t="e">
            <v>#N/A</v>
          </cell>
          <cell r="AQ150" t="e">
            <v>#N/A</v>
          </cell>
          <cell r="AR150" t="e">
            <v>#N/A</v>
          </cell>
          <cell r="AS150" t="e">
            <v>#N/A</v>
          </cell>
        </row>
        <row r="151">
          <cell r="C151" t="str">
            <v>Saint Lucia</v>
          </cell>
          <cell r="D151" t="str">
            <v>East Caribbean Dollar</v>
          </cell>
          <cell r="E151" t="str">
            <v>XCD</v>
          </cell>
          <cell r="F151">
            <v>1</v>
          </cell>
          <cell r="G151" t="e">
            <v>#N/A</v>
          </cell>
          <cell r="H151" t="e">
            <v>#N/A</v>
          </cell>
          <cell r="I151">
            <v>0.83899999999999997</v>
          </cell>
          <cell r="J151">
            <v>15.43</v>
          </cell>
          <cell r="K151">
            <v>48</v>
          </cell>
          <cell r="L151">
            <v>9.3000000000000007</v>
          </cell>
          <cell r="M151">
            <v>14.3</v>
          </cell>
          <cell r="N151">
            <v>90.759</v>
          </cell>
          <cell r="O151">
            <v>94.24</v>
          </cell>
          <cell r="P151">
            <v>3.0850934893509199</v>
          </cell>
          <cell r="Q151">
            <v>7.6851882457938103</v>
          </cell>
          <cell r="R151">
            <v>23.816921737789102</v>
          </cell>
          <cell r="S151">
            <v>41.712667614231101</v>
          </cell>
          <cell r="T151">
            <v>9.4558115448605697</v>
          </cell>
          <cell r="U151">
            <v>16.131733491995298</v>
          </cell>
          <cell r="V151">
            <v>76.183078262210898</v>
          </cell>
          <cell r="W151">
            <v>17.895745876442</v>
          </cell>
          <cell r="X151">
            <v>53.519761125618402</v>
          </cell>
          <cell r="Y151">
            <v>64.409039323923807</v>
          </cell>
          <cell r="Z151">
            <v>67.995460505294304</v>
          </cell>
          <cell r="AA151">
            <v>35.624015249176402</v>
          </cell>
          <cell r="AB151">
            <v>50.099714628852297</v>
          </cell>
          <cell r="AC151">
            <v>52.844346015271199</v>
          </cell>
          <cell r="AD151">
            <v>22.6633171365925</v>
          </cell>
          <cell r="AE151">
            <v>8.1876177569166693</v>
          </cell>
          <cell r="AF151">
            <v>2.9032258064516099</v>
          </cell>
          <cell r="AG151">
            <v>7.2113752122241097</v>
          </cell>
          <cell r="AH151">
            <v>22.459677419354801</v>
          </cell>
          <cell r="AI151">
            <v>39.603140916808101</v>
          </cell>
          <cell r="AJ151">
            <v>8.8900679117147696</v>
          </cell>
          <cell r="AK151">
            <v>15.248302207130701</v>
          </cell>
          <cell r="AL151">
            <v>77.540322580645096</v>
          </cell>
          <cell r="AM151">
            <v>17.1434634974533</v>
          </cell>
          <cell r="AN151">
            <v>53.2205008488964</v>
          </cell>
          <cell r="AO151">
            <v>64.260398981324201</v>
          </cell>
          <cell r="AP151">
            <v>67.763157894736807</v>
          </cell>
          <cell r="AQ151">
            <v>36.077037351443103</v>
          </cell>
          <cell r="AR151">
            <v>50.619694397283503</v>
          </cell>
          <cell r="AS151">
            <v>24.3198217317487</v>
          </cell>
        </row>
        <row r="152">
          <cell r="C152" t="str">
            <v>Saint Vincent and the Grenadines</v>
          </cell>
          <cell r="D152" t="str">
            <v>East Caribbean Dollar</v>
          </cell>
          <cell r="E152" t="str">
            <v>XCD</v>
          </cell>
          <cell r="F152">
            <v>1</v>
          </cell>
          <cell r="G152" t="e">
            <v>#N/A</v>
          </cell>
          <cell r="H152" t="e">
            <v>#N/A</v>
          </cell>
          <cell r="I152">
            <v>2.7E-2</v>
          </cell>
          <cell r="J152">
            <v>16.306000000000001</v>
          </cell>
          <cell r="K152">
            <v>45</v>
          </cell>
          <cell r="L152">
            <v>11.5</v>
          </cell>
          <cell r="M152">
            <v>18.3</v>
          </cell>
          <cell r="N152">
            <v>55.231999999999999</v>
          </cell>
          <cell r="O152">
            <v>54.23</v>
          </cell>
          <cell r="P152">
            <v>3.0036935110081102</v>
          </cell>
          <cell r="Q152">
            <v>7.79620509849362</v>
          </cell>
          <cell r="R152">
            <v>24.574522016222499</v>
          </cell>
          <cell r="S152">
            <v>42.2852694090382</v>
          </cell>
          <cell r="T152">
            <v>9.9905851680185407</v>
          </cell>
          <cell r="U152">
            <v>16.778316917728802</v>
          </cell>
          <cell r="V152">
            <v>75.425477983777498</v>
          </cell>
          <cell r="W152">
            <v>17.710747392815801</v>
          </cell>
          <cell r="X152">
            <v>53.438224217844699</v>
          </cell>
          <cell r="Y152">
            <v>65.195900926998803</v>
          </cell>
          <cell r="Z152">
            <v>68.7536210892236</v>
          </cell>
          <cell r="AA152">
            <v>35.727476825029001</v>
          </cell>
          <cell r="AB152">
            <v>51.042873696407902</v>
          </cell>
          <cell r="AC152">
            <v>53.469003476245597</v>
          </cell>
          <cell r="AD152">
            <v>21.987253765932799</v>
          </cell>
          <cell r="AE152">
            <v>6.6718568945538799</v>
          </cell>
          <cell r="AF152">
            <v>2.98174442190669</v>
          </cell>
          <cell r="AG152">
            <v>7.7558546929743697</v>
          </cell>
          <cell r="AH152">
            <v>24.482758620689701</v>
          </cell>
          <cell r="AI152">
            <v>42.030241563710099</v>
          </cell>
          <cell r="AJ152">
            <v>9.9704960354047607</v>
          </cell>
          <cell r="AK152">
            <v>16.726903927715298</v>
          </cell>
          <cell r="AL152">
            <v>75.517241379310306</v>
          </cell>
          <cell r="AM152">
            <v>17.547482943020501</v>
          </cell>
          <cell r="AN152">
            <v>52.590816891019699</v>
          </cell>
          <cell r="AO152">
            <v>63.8521113774664</v>
          </cell>
          <cell r="AP152">
            <v>67.512446985063605</v>
          </cell>
          <cell r="AQ152">
            <v>35.043333947999301</v>
          </cell>
          <cell r="AR152">
            <v>49.9649640420431</v>
          </cell>
          <cell r="AS152">
            <v>22.9264244882906</v>
          </cell>
        </row>
        <row r="153">
          <cell r="C153" t="str">
            <v>Samoa</v>
          </cell>
          <cell r="D153" t="str">
            <v>Samoan Tala</v>
          </cell>
          <cell r="E153" t="str">
            <v>WST</v>
          </cell>
          <cell r="F153">
            <v>1</v>
          </cell>
          <cell r="G153" t="e">
            <v>#N/A</v>
          </cell>
          <cell r="H153" t="e">
            <v>#N/A</v>
          </cell>
          <cell r="I153">
            <v>0.75900000000000001</v>
          </cell>
          <cell r="J153">
            <v>26.172000000000001</v>
          </cell>
          <cell r="K153">
            <v>51</v>
          </cell>
          <cell r="L153">
            <v>9.5</v>
          </cell>
          <cell r="M153">
            <v>17.5</v>
          </cell>
          <cell r="N153">
            <v>99.644000000000005</v>
          </cell>
          <cell r="O153">
            <v>93.584000000000003</v>
          </cell>
          <cell r="P153">
            <v>4.7398739512665102</v>
          </cell>
          <cell r="Q153">
            <v>12.5868090401831</v>
          </cell>
          <cell r="R153">
            <v>37.424230259724602</v>
          </cell>
          <cell r="S153">
            <v>57.3009915298463</v>
          </cell>
          <cell r="T153">
            <v>15.5925093332263</v>
          </cell>
          <cell r="U153">
            <v>24.8374212195416</v>
          </cell>
          <cell r="V153">
            <v>62.575769740275398</v>
          </cell>
          <cell r="W153">
            <v>19.876761270121602</v>
          </cell>
          <cell r="X153">
            <v>47.9276223355144</v>
          </cell>
          <cell r="Y153">
            <v>55.651117980008799</v>
          </cell>
          <cell r="Z153">
            <v>58.2282927220906</v>
          </cell>
          <cell r="AA153">
            <v>28.050861065392802</v>
          </cell>
          <cell r="AB153">
            <v>38.351531451969002</v>
          </cell>
          <cell r="AC153">
            <v>39.983340692866598</v>
          </cell>
          <cell r="AD153">
            <v>14.6481474047609</v>
          </cell>
          <cell r="AE153">
            <v>4.3474770181847404</v>
          </cell>
          <cell r="AF153">
            <v>4.7315780475294904</v>
          </cell>
          <cell r="AG153">
            <v>12.4316122414088</v>
          </cell>
          <cell r="AH153">
            <v>37.148444178492099</v>
          </cell>
          <cell r="AI153">
            <v>56.129252863737399</v>
          </cell>
          <cell r="AJ153">
            <v>15.433193708326201</v>
          </cell>
          <cell r="AK153">
            <v>24.716831937083299</v>
          </cell>
          <cell r="AL153">
            <v>62.851555821508001</v>
          </cell>
          <cell r="AM153">
            <v>18.9808086852453</v>
          </cell>
          <cell r="AN153">
            <v>46.067703881005301</v>
          </cell>
          <cell r="AO153">
            <v>53.915199179346899</v>
          </cell>
          <cell r="AP153">
            <v>56.674217815011097</v>
          </cell>
          <cell r="AQ153">
            <v>27.08689519576</v>
          </cell>
          <cell r="AR153">
            <v>37.693409129765797</v>
          </cell>
          <cell r="AS153">
            <v>16.7838519405027</v>
          </cell>
        </row>
        <row r="154">
          <cell r="C154" t="str">
            <v>San Marino</v>
          </cell>
          <cell r="D154" t="str">
            <v>Euro</v>
          </cell>
          <cell r="E154" t="str">
            <v>EUR</v>
          </cell>
          <cell r="F154">
            <v>1.2617355060728741</v>
          </cell>
          <cell r="G154" t="e">
            <v>#N/A</v>
          </cell>
          <cell r="H154" t="e">
            <v>#N/A</v>
          </cell>
          <cell r="I154">
            <v>0.69899999999999995</v>
          </cell>
          <cell r="J154">
            <v>0</v>
          </cell>
          <cell r="K154">
            <v>0</v>
          </cell>
          <cell r="L154">
            <v>0.7</v>
          </cell>
          <cell r="M154">
            <v>2.9</v>
          </cell>
          <cell r="N154" t="e">
            <v>#N/A</v>
          </cell>
          <cell r="O154" t="e">
            <v>#N/A</v>
          </cell>
          <cell r="P154" t="e">
            <v>#N/A</v>
          </cell>
          <cell r="Q154" t="e">
            <v>#N/A</v>
          </cell>
          <cell r="R154" t="e">
            <v>#N/A</v>
          </cell>
          <cell r="S154" t="e">
            <v>#N/A</v>
          </cell>
          <cell r="T154" t="e">
            <v>#N/A</v>
          </cell>
          <cell r="U154" t="e">
            <v>#N/A</v>
          </cell>
          <cell r="V154" t="e">
            <v>#N/A</v>
          </cell>
          <cell r="W154" t="e">
            <v>#N/A</v>
          </cell>
          <cell r="X154" t="e">
            <v>#N/A</v>
          </cell>
          <cell r="Y154" t="e">
            <v>#N/A</v>
          </cell>
          <cell r="Z154" t="e">
            <v>#N/A</v>
          </cell>
          <cell r="AA154" t="e">
            <v>#N/A</v>
          </cell>
          <cell r="AB154" t="e">
            <v>#N/A</v>
          </cell>
          <cell r="AC154" t="e">
            <v>#N/A</v>
          </cell>
          <cell r="AD154" t="e">
            <v>#N/A</v>
          </cell>
          <cell r="AE154" t="e">
            <v>#N/A</v>
          </cell>
          <cell r="AF154" t="e">
            <v>#N/A</v>
          </cell>
          <cell r="AG154" t="e">
            <v>#N/A</v>
          </cell>
          <cell r="AH154" t="e">
            <v>#N/A</v>
          </cell>
          <cell r="AI154" t="e">
            <v>#N/A</v>
          </cell>
          <cell r="AJ154" t="e">
            <v>#N/A</v>
          </cell>
          <cell r="AK154" t="e">
            <v>#N/A</v>
          </cell>
          <cell r="AL154" t="e">
            <v>#N/A</v>
          </cell>
          <cell r="AM154" t="e">
            <v>#N/A</v>
          </cell>
          <cell r="AN154" t="e">
            <v>#N/A</v>
          </cell>
          <cell r="AO154" t="e">
            <v>#N/A</v>
          </cell>
          <cell r="AP154" t="e">
            <v>#N/A</v>
          </cell>
          <cell r="AQ154" t="e">
            <v>#N/A</v>
          </cell>
          <cell r="AR154" t="e">
            <v>#N/A</v>
          </cell>
          <cell r="AS154" t="e">
            <v>#N/A</v>
          </cell>
        </row>
        <row r="155">
          <cell r="C155" t="str">
            <v>Sao Tome and Principe</v>
          </cell>
          <cell r="D155" t="str">
            <v>Sao Tome and Principe Dobra</v>
          </cell>
          <cell r="E155" t="str">
            <v>STD</v>
          </cell>
          <cell r="F155">
            <v>1</v>
          </cell>
          <cell r="G155" t="e">
            <v>#N/A</v>
          </cell>
          <cell r="H155" t="e">
            <v>#N/A</v>
          </cell>
          <cell r="I155">
            <v>2.157</v>
          </cell>
          <cell r="J155">
            <v>34.536999999999999</v>
          </cell>
          <cell r="K155">
            <v>156</v>
          </cell>
          <cell r="L155">
            <v>17.100000000000001</v>
          </cell>
          <cell r="M155">
            <v>47.3</v>
          </cell>
          <cell r="N155">
            <v>94.759</v>
          </cell>
          <cell r="O155">
            <v>95.584999999999994</v>
          </cell>
          <cell r="P155">
            <v>6.5112548676115196</v>
          </cell>
          <cell r="Q155">
            <v>15.751538112474799</v>
          </cell>
          <cell r="R155">
            <v>43.154739919163397</v>
          </cell>
          <cell r="S155">
            <v>62.813030952205096</v>
          </cell>
          <cell r="T155">
            <v>17.1033885963339</v>
          </cell>
          <cell r="U155">
            <v>27.4032018066886</v>
          </cell>
          <cell r="V155">
            <v>56.845260080836702</v>
          </cell>
          <cell r="W155">
            <v>19.658291033041699</v>
          </cell>
          <cell r="X155">
            <v>48.5674183982524</v>
          </cell>
          <cell r="Y155">
            <v>52.982830126953601</v>
          </cell>
          <cell r="Z155">
            <v>54.170052448843897</v>
          </cell>
          <cell r="AA155">
            <v>28.909127365210701</v>
          </cell>
          <cell r="AB155">
            <v>34.511761415802198</v>
          </cell>
          <cell r="AC155">
            <v>35.228316043858598</v>
          </cell>
          <cell r="AD155">
            <v>8.2778416825842402</v>
          </cell>
          <cell r="AE155">
            <v>2.6752076319927398</v>
          </cell>
          <cell r="AF155">
            <v>6.3263064288329698</v>
          </cell>
          <cell r="AG155">
            <v>15.326672595072401</v>
          </cell>
          <cell r="AH155">
            <v>42.104932782340299</v>
          </cell>
          <cell r="AI155">
            <v>61.285766595177101</v>
          </cell>
          <cell r="AJ155">
            <v>16.707642412512399</v>
          </cell>
          <cell r="AK155">
            <v>26.7782601872679</v>
          </cell>
          <cell r="AL155">
            <v>57.895067217659701</v>
          </cell>
          <cell r="AM155">
            <v>19.180833812836699</v>
          </cell>
          <cell r="AN155">
            <v>47.594287806664198</v>
          </cell>
          <cell r="AO155">
            <v>52.882774493905899</v>
          </cell>
          <cell r="AP155">
            <v>54.402887482345598</v>
          </cell>
          <cell r="AQ155">
            <v>28.413453993827499</v>
          </cell>
          <cell r="AR155">
            <v>35.222053669508803</v>
          </cell>
          <cell r="AS155">
            <v>10.3007794109954</v>
          </cell>
        </row>
        <row r="156">
          <cell r="C156" t="str">
            <v>Saudi Arabia</v>
          </cell>
          <cell r="D156" t="str">
            <v>Saudi Riyal</v>
          </cell>
          <cell r="E156" t="str">
            <v>SAR</v>
          </cell>
          <cell r="F156">
            <v>5.2455399596774175</v>
          </cell>
          <cell r="G156" t="e">
            <v>#N/A</v>
          </cell>
          <cell r="H156" t="e">
            <v>#N/A</v>
          </cell>
          <cell r="I156">
            <v>2.3170000000000002</v>
          </cell>
          <cell r="J156">
            <v>20.576000000000001</v>
          </cell>
          <cell r="K156">
            <v>12</v>
          </cell>
          <cell r="L156">
            <v>7.9</v>
          </cell>
          <cell r="M156">
            <v>14.5</v>
          </cell>
          <cell r="N156">
            <v>17835.91</v>
          </cell>
          <cell r="O156">
            <v>13704.462</v>
          </cell>
          <cell r="P156">
            <v>3.5178805006304699</v>
          </cell>
          <cell r="Q156">
            <v>9.0135911203857795</v>
          </cell>
          <cell r="R156">
            <v>25.796726940201001</v>
          </cell>
          <cell r="S156">
            <v>39.684496053187097</v>
          </cell>
          <cell r="T156">
            <v>10.5596854884332</v>
          </cell>
          <cell r="U156">
            <v>16.7831358198152</v>
          </cell>
          <cell r="V156">
            <v>74.203273059799002</v>
          </cell>
          <cell r="W156">
            <v>13.887769112986099</v>
          </cell>
          <cell r="X156">
            <v>60.4910598898514</v>
          </cell>
          <cell r="Y156">
            <v>69.514574810032101</v>
          </cell>
          <cell r="Z156">
            <v>71.835975848723194</v>
          </cell>
          <cell r="AA156">
            <v>46.6032907768653</v>
          </cell>
          <cell r="AB156">
            <v>57.948206735737102</v>
          </cell>
          <cell r="AC156">
            <v>58.902618369345902</v>
          </cell>
          <cell r="AD156">
            <v>13.712213169947599</v>
          </cell>
          <cell r="AE156">
            <v>2.3672972110758601</v>
          </cell>
          <cell r="AF156">
            <v>4.4450194396540397</v>
          </cell>
          <cell r="AG156">
            <v>11.337956936945099</v>
          </cell>
          <cell r="AH156">
            <v>32.206970255381101</v>
          </cell>
          <cell r="AI156">
            <v>50.1046447500092</v>
          </cell>
          <cell r="AJ156">
            <v>13.1073879441601</v>
          </cell>
          <cell r="AK156">
            <v>20.869013318436</v>
          </cell>
          <cell r="AL156">
            <v>67.793029744618906</v>
          </cell>
          <cell r="AM156">
            <v>17.897674494628099</v>
          </cell>
          <cell r="AN156">
            <v>55.882733667326796</v>
          </cell>
          <cell r="AO156">
            <v>62.347992938358303</v>
          </cell>
          <cell r="AP156">
            <v>64.286485671601</v>
          </cell>
          <cell r="AQ156">
            <v>37.985059172698598</v>
          </cell>
          <cell r="AR156">
            <v>46.388811176972901</v>
          </cell>
          <cell r="AS156">
            <v>11.9102960772922</v>
          </cell>
        </row>
        <row r="157">
          <cell r="C157" t="str">
            <v>Senegal</v>
          </cell>
          <cell r="D157" t="str">
            <v>CFA Franc BCEAO</v>
          </cell>
          <cell r="E157" t="str">
            <v>XOF</v>
          </cell>
          <cell r="F157">
            <v>1</v>
          </cell>
          <cell r="G157" t="e">
            <v>#N/A</v>
          </cell>
          <cell r="H157" t="e">
            <v>#N/A</v>
          </cell>
          <cell r="I157">
            <v>3.1</v>
          </cell>
          <cell r="J157">
            <v>38.533000000000001</v>
          </cell>
          <cell r="K157">
            <v>315</v>
          </cell>
          <cell r="L157">
            <v>20.8</v>
          </cell>
          <cell r="M157">
            <v>47.2</v>
          </cell>
          <cell r="N157">
            <v>7428.68</v>
          </cell>
          <cell r="O157">
            <v>7700.5929999999998</v>
          </cell>
          <cell r="P157">
            <v>7.5132728829347899</v>
          </cell>
          <cell r="Q157">
            <v>17.7479309917778</v>
          </cell>
          <cell r="R157">
            <v>45.108013805952098</v>
          </cell>
          <cell r="S157">
            <v>65.169410985531698</v>
          </cell>
          <cell r="T157">
            <v>17.471704259707</v>
          </cell>
          <cell r="U157">
            <v>27.360082814174302</v>
          </cell>
          <cell r="V157">
            <v>54.891986194047902</v>
          </cell>
          <cell r="W157">
            <v>20.0613971795797</v>
          </cell>
          <cell r="X157">
            <v>46.777072104330799</v>
          </cell>
          <cell r="Y157">
            <v>50.925386475120703</v>
          </cell>
          <cell r="Z157">
            <v>52.337077381176698</v>
          </cell>
          <cell r="AA157">
            <v>26.715674924751099</v>
          </cell>
          <cell r="AB157">
            <v>32.275680201597098</v>
          </cell>
          <cell r="AC157">
            <v>33.288417323131398</v>
          </cell>
          <cell r="AD157">
            <v>8.1149140897171499</v>
          </cell>
          <cell r="AE157">
            <v>2.5549088128711999</v>
          </cell>
          <cell r="AF157">
            <v>7.0522750650501802</v>
          </cell>
          <cell r="AG157">
            <v>16.659431293148501</v>
          </cell>
          <cell r="AH157">
            <v>42.463703769307102</v>
          </cell>
          <cell r="AI157">
            <v>61.683911875358199</v>
          </cell>
          <cell r="AJ157">
            <v>16.4437855630079</v>
          </cell>
          <cell r="AK157">
            <v>25.804272476158602</v>
          </cell>
          <cell r="AL157">
            <v>57.536296230692898</v>
          </cell>
          <cell r="AM157">
            <v>19.2202081060511</v>
          </cell>
          <cell r="AN157">
            <v>47.437697330582203</v>
          </cell>
          <cell r="AO157">
            <v>52.4807634944478</v>
          </cell>
          <cell r="AP157">
            <v>54.237524304946398</v>
          </cell>
          <cell r="AQ157">
            <v>28.217489224531199</v>
          </cell>
          <cell r="AR157">
            <v>35.017316198895301</v>
          </cell>
          <cell r="AS157">
            <v>10.0985989001107</v>
          </cell>
        </row>
        <row r="158">
          <cell r="C158" t="str">
            <v>Serbia</v>
          </cell>
          <cell r="D158" t="str">
            <v>Serbian Dinar</v>
          </cell>
          <cell r="E158" t="str">
            <v>RSD</v>
          </cell>
          <cell r="F158">
            <v>1</v>
          </cell>
          <cell r="G158" t="e">
            <v>#N/A</v>
          </cell>
          <cell r="H158" t="e">
            <v>#N/A</v>
          </cell>
          <cell r="I158">
            <v>-0.46500000000000002</v>
          </cell>
          <cell r="J158">
            <v>9.1999999999999993</v>
          </cell>
          <cell r="K158">
            <v>17</v>
          </cell>
          <cell r="L158">
            <v>4.2</v>
          </cell>
          <cell r="M158">
            <v>6.7</v>
          </cell>
          <cell r="N158">
            <v>4319.6469999999999</v>
          </cell>
          <cell r="O158">
            <v>4531.3280000000004</v>
          </cell>
          <cell r="P158">
            <v>2.16334806987701</v>
          </cell>
          <cell r="Q158">
            <v>5.3427050867814003</v>
          </cell>
          <cell r="R158">
            <v>17.096744247851699</v>
          </cell>
          <cell r="S158">
            <v>30.442672746175798</v>
          </cell>
          <cell r="T158">
            <v>6.7463614503685196</v>
          </cell>
          <cell r="U158">
            <v>11.754039161070301</v>
          </cell>
          <cell r="V158">
            <v>82.903255752148297</v>
          </cell>
          <cell r="W158">
            <v>13.345928498324101</v>
          </cell>
          <cell r="X158">
            <v>48.404510831556401</v>
          </cell>
          <cell r="Y158">
            <v>60.987668668296301</v>
          </cell>
          <cell r="Z158">
            <v>68.150985485619501</v>
          </cell>
          <cell r="AA158">
            <v>35.058582333232302</v>
          </cell>
          <cell r="AB158">
            <v>54.805056987295501</v>
          </cell>
          <cell r="AC158">
            <v>60.658313051969301</v>
          </cell>
          <cell r="AD158">
            <v>34.498744920591903</v>
          </cell>
          <cell r="AE158">
            <v>14.752270266528701</v>
          </cell>
          <cell r="AF158">
            <v>1.9669289003135499</v>
          </cell>
          <cell r="AG158">
            <v>4.8566336402926504</v>
          </cell>
          <cell r="AH158">
            <v>15.5410952374227</v>
          </cell>
          <cell r="AI158">
            <v>27.492095032626199</v>
          </cell>
          <cell r="AJ158">
            <v>6.14027499223186</v>
          </cell>
          <cell r="AK158">
            <v>10.684461597129999</v>
          </cell>
          <cell r="AL158">
            <v>84.458904762577305</v>
          </cell>
          <cell r="AM158">
            <v>11.950999795203501</v>
          </cell>
          <cell r="AN158">
            <v>44.958586092200797</v>
          </cell>
          <cell r="AO158">
            <v>57.612448271235301</v>
          </cell>
          <cell r="AP158">
            <v>65.155292223383498</v>
          </cell>
          <cell r="AQ158">
            <v>33.007586296997303</v>
          </cell>
          <cell r="AR158">
            <v>53.204292428179997</v>
          </cell>
          <cell r="AS158">
            <v>39.500318670376501</v>
          </cell>
        </row>
        <row r="159">
          <cell r="C159" t="str">
            <v>Seychelles</v>
          </cell>
          <cell r="D159" t="str">
            <v>Seychelles Rupee</v>
          </cell>
          <cell r="E159" t="str">
            <v>SCR</v>
          </cell>
          <cell r="F159">
            <v>1</v>
          </cell>
          <cell r="G159" t="e">
            <v>#N/A</v>
          </cell>
          <cell r="H159" t="e">
            <v>#N/A</v>
          </cell>
          <cell r="I159">
            <v>0.71499999999999997</v>
          </cell>
          <cell r="J159">
            <v>18.600000000000001</v>
          </cell>
          <cell r="K159">
            <v>0</v>
          </cell>
          <cell r="L159">
            <v>8.6</v>
          </cell>
          <cell r="M159">
            <v>13.6</v>
          </cell>
          <cell r="N159">
            <v>48.866</v>
          </cell>
          <cell r="O159">
            <v>47.604999999999997</v>
          </cell>
          <cell r="P159">
            <v>3.4952727868047302</v>
          </cell>
          <cell r="Q159">
            <v>8.7852494577006492</v>
          </cell>
          <cell r="R159">
            <v>23.644251626898001</v>
          </cell>
          <cell r="S159">
            <v>38.386608275692701</v>
          </cell>
          <cell r="T159">
            <v>9.4871689927557004</v>
          </cell>
          <cell r="U159">
            <v>14.859002169197399</v>
          </cell>
          <cell r="V159">
            <v>76.355748373101903</v>
          </cell>
          <cell r="W159">
            <v>14.742356648794701</v>
          </cell>
          <cell r="X159">
            <v>54.800884050259903</v>
          </cell>
          <cell r="Y159">
            <v>66.782630049523206</v>
          </cell>
          <cell r="Z159">
            <v>70.734252854745606</v>
          </cell>
          <cell r="AA159">
            <v>40.058527401465199</v>
          </cell>
          <cell r="AB159">
            <v>55.991896205951001</v>
          </cell>
          <cell r="AC159">
            <v>57.864363770310597</v>
          </cell>
          <cell r="AD159">
            <v>21.5548643228421</v>
          </cell>
          <cell r="AE159">
            <v>5.62149551835632</v>
          </cell>
          <cell r="AF159">
            <v>3.41350698456045</v>
          </cell>
          <cell r="AG159">
            <v>8.5831320239470692</v>
          </cell>
          <cell r="AH159">
            <v>23.241256170570299</v>
          </cell>
          <cell r="AI159">
            <v>37.489759479046299</v>
          </cell>
          <cell r="AJ159">
            <v>9.3393551097573795</v>
          </cell>
          <cell r="AK159">
            <v>14.658124146623299</v>
          </cell>
          <cell r="AL159">
            <v>76.758743829429704</v>
          </cell>
          <cell r="AM159">
            <v>14.248503308476</v>
          </cell>
          <cell r="AN159">
            <v>52.074361936771403</v>
          </cell>
          <cell r="AO159">
            <v>64.432307530721602</v>
          </cell>
          <cell r="AP159">
            <v>68.589433882995493</v>
          </cell>
          <cell r="AQ159">
            <v>37.8258586282953</v>
          </cell>
          <cell r="AR159">
            <v>54.340930574519497</v>
          </cell>
          <cell r="AS159">
            <v>24.684381892658301</v>
          </cell>
        </row>
        <row r="160">
          <cell r="C160" t="str">
            <v>Sierra Leone</v>
          </cell>
          <cell r="D160" t="str">
            <v>Leone</v>
          </cell>
          <cell r="E160" t="str">
            <v>SLL</v>
          </cell>
          <cell r="F160">
            <v>4348</v>
          </cell>
          <cell r="G160" t="e">
            <v>#N/A</v>
          </cell>
          <cell r="H160" t="e">
            <v>#N/A</v>
          </cell>
          <cell r="I160">
            <v>2.218</v>
          </cell>
          <cell r="J160">
            <v>36.728999999999999</v>
          </cell>
          <cell r="K160">
            <v>1360</v>
          </cell>
          <cell r="L160">
            <v>34.9</v>
          </cell>
          <cell r="M160">
            <v>120.4</v>
          </cell>
          <cell r="N160">
            <v>3193.239</v>
          </cell>
          <cell r="O160">
            <v>3259.9450000000002</v>
          </cell>
          <cell r="P160">
            <v>6.4239475967818302</v>
          </cell>
          <cell r="Q160">
            <v>15.7609248790961</v>
          </cell>
          <cell r="R160">
            <v>42.753329769553702</v>
          </cell>
          <cell r="S160">
            <v>62.734233172023799</v>
          </cell>
          <cell r="T160">
            <v>17.061328638413901</v>
          </cell>
          <cell r="U160">
            <v>26.9924048904576</v>
          </cell>
          <cell r="V160">
            <v>57.246670230446298</v>
          </cell>
          <cell r="W160">
            <v>19.980903402469998</v>
          </cell>
          <cell r="X160">
            <v>48.062547150401201</v>
          </cell>
          <cell r="Y160">
            <v>52.960677230861798</v>
          </cell>
          <cell r="Z160">
            <v>54.619713713881097</v>
          </cell>
          <cell r="AA160">
            <v>28.081643747931199</v>
          </cell>
          <cell r="AB160">
            <v>34.638810311411099</v>
          </cell>
          <cell r="AC160">
            <v>35.924714686248002</v>
          </cell>
          <cell r="AD160">
            <v>9.18412308004506</v>
          </cell>
          <cell r="AE160">
            <v>2.6269565165651598</v>
          </cell>
          <cell r="AF160">
            <v>6.2363322080587302</v>
          </cell>
          <cell r="AG160">
            <v>15.3672531285037</v>
          </cell>
          <cell r="AH160">
            <v>41.980524211297997</v>
          </cell>
          <cell r="AI160">
            <v>62.051108224218503</v>
          </cell>
          <cell r="AJ160">
            <v>16.7893323353615</v>
          </cell>
          <cell r="AK160">
            <v>26.613271082794299</v>
          </cell>
          <cell r="AL160">
            <v>58.019475788702003</v>
          </cell>
          <cell r="AM160">
            <v>20.070584012920499</v>
          </cell>
          <cell r="AN160">
            <v>48.364282219485297</v>
          </cell>
          <cell r="AO160">
            <v>53.508049982438401</v>
          </cell>
          <cell r="AP160">
            <v>55.308325753962102</v>
          </cell>
          <cell r="AQ160">
            <v>28.293698206564802</v>
          </cell>
          <cell r="AR160">
            <v>35.237741741041702</v>
          </cell>
          <cell r="AS160">
            <v>9.6551935692166602</v>
          </cell>
        </row>
        <row r="161">
          <cell r="C161" t="str">
            <v>Singapore</v>
          </cell>
          <cell r="D161" t="str">
            <v>Singapore Dollar</v>
          </cell>
          <cell r="E161" t="str">
            <v>SGD</v>
          </cell>
          <cell r="F161">
            <v>1.9235058649789025</v>
          </cell>
          <cell r="G161" t="e">
            <v>#N/A</v>
          </cell>
          <cell r="H161" t="e">
            <v>#N/A</v>
          </cell>
          <cell r="I161">
            <v>1.9670000000000001</v>
          </cell>
          <cell r="J161">
            <v>9.3000000000000007</v>
          </cell>
          <cell r="K161">
            <v>10</v>
          </cell>
          <cell r="L161">
            <v>1</v>
          </cell>
          <cell r="M161">
            <v>2.7</v>
          </cell>
          <cell r="N161">
            <v>2765.0349999999999</v>
          </cell>
          <cell r="O161">
            <v>2838.7049999999999</v>
          </cell>
          <cell r="P161">
            <v>2.0133922355413199</v>
          </cell>
          <cell r="Q161">
            <v>5.0155965476024704</v>
          </cell>
          <cell r="R161">
            <v>16.103448961767199</v>
          </cell>
          <cell r="S161">
            <v>29.707363559593301</v>
          </cell>
          <cell r="T161">
            <v>6.3518544973210096</v>
          </cell>
          <cell r="U161">
            <v>11.087852414164701</v>
          </cell>
          <cell r="V161">
            <v>83.896551038232801</v>
          </cell>
          <cell r="W161">
            <v>13.603914597826099</v>
          </cell>
          <cell r="X161">
            <v>50.773317516776402</v>
          </cell>
          <cell r="Y161">
            <v>66.975354742345004</v>
          </cell>
          <cell r="Z161">
            <v>73.207138426819199</v>
          </cell>
          <cell r="AA161">
            <v>37.169402918950396</v>
          </cell>
          <cell r="AB161">
            <v>59.603223828993102</v>
          </cell>
          <cell r="AC161">
            <v>64.153003488201804</v>
          </cell>
          <cell r="AD161">
            <v>33.123233521456299</v>
          </cell>
          <cell r="AE161">
            <v>10.6894126114136</v>
          </cell>
          <cell r="AF161">
            <v>1.8000109204725401</v>
          </cell>
          <cell r="AG161">
            <v>4.5810677756230396</v>
          </cell>
          <cell r="AH161">
            <v>14.997014483717001</v>
          </cell>
          <cell r="AI161">
            <v>27.759559376546701</v>
          </cell>
          <cell r="AJ161">
            <v>5.9908655531307398</v>
          </cell>
          <cell r="AK161">
            <v>10.415946708093999</v>
          </cell>
          <cell r="AL161">
            <v>85.002985516283005</v>
          </cell>
          <cell r="AM161">
            <v>12.7625448928297</v>
          </cell>
          <cell r="AN161">
            <v>50.602193605887201</v>
          </cell>
          <cell r="AO161">
            <v>66.236188684629099</v>
          </cell>
          <cell r="AP161">
            <v>72.356690815001897</v>
          </cell>
          <cell r="AQ161">
            <v>37.8396487130575</v>
          </cell>
          <cell r="AR161">
            <v>59.594145922172302</v>
          </cell>
          <cell r="AS161">
            <v>34.400791910395803</v>
          </cell>
        </row>
        <row r="162">
          <cell r="C162" t="str">
            <v>Slovakia</v>
          </cell>
          <cell r="D162" t="str">
            <v>Slovak Koruna</v>
          </cell>
          <cell r="E162" t="str">
            <v>SKK</v>
          </cell>
          <cell r="F162">
            <v>1</v>
          </cell>
          <cell r="G162" t="e">
            <v>#N/A</v>
          </cell>
          <cell r="H162" t="e">
            <v>#N/A</v>
          </cell>
          <cell r="I162">
            <v>7.0999999999999994E-2</v>
          </cell>
          <cell r="J162">
            <v>10.1</v>
          </cell>
          <cell r="K162">
            <v>6</v>
          </cell>
          <cell r="L162">
            <v>4.2</v>
          </cell>
          <cell r="M162">
            <v>7.3</v>
          </cell>
          <cell r="N162">
            <v>2630.1350000000002</v>
          </cell>
          <cell r="O162">
            <v>2796.123</v>
          </cell>
          <cell r="P162">
            <v>2.1350234873875298</v>
          </cell>
          <cell r="Q162">
            <v>5.5069416588882296</v>
          </cell>
          <cell r="R162">
            <v>15.9678875799151</v>
          </cell>
          <cell r="S162">
            <v>28.529067899556502</v>
          </cell>
          <cell r="T162">
            <v>6.4624819638535698</v>
          </cell>
          <cell r="U162">
            <v>10.4609459210269</v>
          </cell>
          <cell r="V162">
            <v>84.0321124200849</v>
          </cell>
          <cell r="W162">
            <v>12.5611803196414</v>
          </cell>
          <cell r="X162">
            <v>52.906980059958897</v>
          </cell>
          <cell r="Y162">
            <v>66.710111838365705</v>
          </cell>
          <cell r="Z162">
            <v>73.120353137766699</v>
          </cell>
          <cell r="AA162">
            <v>40.345799740317503</v>
          </cell>
          <cell r="AB162">
            <v>60.559172818125298</v>
          </cell>
          <cell r="AC162">
            <v>64.905109433546201</v>
          </cell>
          <cell r="AD162">
            <v>31.125132360125999</v>
          </cell>
          <cell r="AE162">
            <v>10.911759282318201</v>
          </cell>
          <cell r="AF162">
            <v>1.9142934699224601</v>
          </cell>
          <cell r="AG162">
            <v>4.9394822759943002</v>
          </cell>
          <cell r="AH162">
            <v>14.3295198387195</v>
          </cell>
          <cell r="AI162">
            <v>25.605883575221799</v>
          </cell>
          <cell r="AJ162">
            <v>5.8014615236883396</v>
          </cell>
          <cell r="AK162">
            <v>9.3900375627252508</v>
          </cell>
          <cell r="AL162">
            <v>85.670480161280494</v>
          </cell>
          <cell r="AM162">
            <v>11.276363736502301</v>
          </cell>
          <cell r="AN162">
            <v>48.366935217084503</v>
          </cell>
          <cell r="AO162">
            <v>62.118941119543003</v>
          </cell>
          <cell r="AP162">
            <v>69.0662392176596</v>
          </cell>
          <cell r="AQ162">
            <v>37.090571480582199</v>
          </cell>
          <cell r="AR162">
            <v>57.789875481157303</v>
          </cell>
          <cell r="AS162">
            <v>37.303544944195899</v>
          </cell>
        </row>
        <row r="163">
          <cell r="C163" t="str">
            <v>Slovenia</v>
          </cell>
          <cell r="D163" t="str">
            <v>Slovenian Tolar</v>
          </cell>
          <cell r="E163" t="str">
            <v>SIT</v>
          </cell>
          <cell r="F163">
            <v>1</v>
          </cell>
          <cell r="G163" t="e">
            <v>#N/A</v>
          </cell>
          <cell r="H163" t="e">
            <v>#N/A</v>
          </cell>
          <cell r="I163">
            <v>0.14599999999999999</v>
          </cell>
          <cell r="J163">
            <v>10.199999999999999</v>
          </cell>
          <cell r="K163">
            <v>9</v>
          </cell>
          <cell r="L163">
            <v>1.4</v>
          </cell>
          <cell r="M163">
            <v>2.6</v>
          </cell>
          <cell r="N163">
            <v>1024.828</v>
          </cell>
          <cell r="O163">
            <v>1042.6980000000001</v>
          </cell>
          <cell r="P163">
            <v>2.2181283103115801</v>
          </cell>
          <cell r="Q163">
            <v>5.5762527955910697</v>
          </cell>
          <cell r="R163">
            <v>15.342769713551901</v>
          </cell>
          <cell r="S163">
            <v>25.278388178308902</v>
          </cell>
          <cell r="T163">
            <v>6.1482512187411</v>
          </cell>
          <cell r="U163">
            <v>9.7665169179608693</v>
          </cell>
          <cell r="V163">
            <v>84.657230286448097</v>
          </cell>
          <cell r="W163">
            <v>9.9356184647570096</v>
          </cell>
          <cell r="X163">
            <v>47.420250032200499</v>
          </cell>
          <cell r="Y163">
            <v>62.4357453153115</v>
          </cell>
          <cell r="Z163">
            <v>69.762340607399494</v>
          </cell>
          <cell r="AA163">
            <v>37.4846315674435</v>
          </cell>
          <cell r="AB163">
            <v>59.826722142642502</v>
          </cell>
          <cell r="AC163">
            <v>64.579714839953596</v>
          </cell>
          <cell r="AD163">
            <v>37.236980254247499</v>
          </cell>
          <cell r="AE163">
            <v>14.8948896790486</v>
          </cell>
          <cell r="AF163">
            <v>2.0404757657538402</v>
          </cell>
          <cell r="AG163">
            <v>5.1643908399172096</v>
          </cell>
          <cell r="AH163">
            <v>14.23566555225</v>
          </cell>
          <cell r="AI163">
            <v>23.5121770637327</v>
          </cell>
          <cell r="AJ163">
            <v>5.7303265183207399</v>
          </cell>
          <cell r="AK163">
            <v>9.0712747123328104</v>
          </cell>
          <cell r="AL163">
            <v>85.764334447750002</v>
          </cell>
          <cell r="AM163">
            <v>9.2765115114827097</v>
          </cell>
          <cell r="AN163">
            <v>43.271301949365998</v>
          </cell>
          <cell r="AO163">
            <v>57.674225902418499</v>
          </cell>
          <cell r="AP163">
            <v>64.775131437865994</v>
          </cell>
          <cell r="AQ163">
            <v>33.994790437883303</v>
          </cell>
          <cell r="AR163">
            <v>55.498619926383299</v>
          </cell>
          <cell r="AS163">
            <v>42.493032498383997</v>
          </cell>
        </row>
        <row r="164">
          <cell r="C164" t="str">
            <v>Solomon Islands</v>
          </cell>
          <cell r="D164" t="str">
            <v>Solomon Islands Dollar</v>
          </cell>
          <cell r="E164" t="str">
            <v>SBD</v>
          </cell>
          <cell r="F164">
            <v>1</v>
          </cell>
          <cell r="G164" t="e">
            <v>#N/A</v>
          </cell>
          <cell r="H164" t="e">
            <v>#N/A</v>
          </cell>
          <cell r="I164">
            <v>2.0710000000000002</v>
          </cell>
          <cell r="J164">
            <v>30.577999999999999</v>
          </cell>
          <cell r="K164">
            <v>114</v>
          </cell>
          <cell r="L164">
            <v>12.2</v>
          </cell>
          <cell r="M164">
            <v>28.1</v>
          </cell>
          <cell r="N164">
            <v>296.32299999999998</v>
          </cell>
          <cell r="O164">
            <v>287.26799999999997</v>
          </cell>
          <cell r="P164">
            <v>5.6964866041448001</v>
          </cell>
          <cell r="Q164">
            <v>14.2209683352288</v>
          </cell>
          <cell r="R164">
            <v>40.101173381749</v>
          </cell>
          <cell r="S164">
            <v>60.186350705142701</v>
          </cell>
          <cell r="T164">
            <v>16.1546690604509</v>
          </cell>
          <cell r="U164">
            <v>25.880205046520199</v>
          </cell>
          <cell r="V164">
            <v>59.898826618251</v>
          </cell>
          <cell r="W164">
            <v>20.085177323393701</v>
          </cell>
          <cell r="X164">
            <v>49.193278955734101</v>
          </cell>
          <cell r="Y164">
            <v>54.790549501726197</v>
          </cell>
          <cell r="Z164">
            <v>56.570026626350298</v>
          </cell>
          <cell r="AA164">
            <v>29.1081016323404</v>
          </cell>
          <cell r="AB164">
            <v>36.484849302956597</v>
          </cell>
          <cell r="AC164">
            <v>37.827978253459897</v>
          </cell>
          <cell r="AD164">
            <v>10.705547662516899</v>
          </cell>
          <cell r="AE164">
            <v>3.3287999919007301</v>
          </cell>
          <cell r="AF164">
            <v>5.5387303841708801</v>
          </cell>
          <cell r="AG164">
            <v>13.783644540986099</v>
          </cell>
          <cell r="AH164">
            <v>38.857791330743403</v>
          </cell>
          <cell r="AI164">
            <v>58.207318601445301</v>
          </cell>
          <cell r="AJ164">
            <v>15.6369661779244</v>
          </cell>
          <cell r="AK164">
            <v>25.0741467897573</v>
          </cell>
          <cell r="AL164">
            <v>61.142208669256597</v>
          </cell>
          <cell r="AM164">
            <v>19.349527270701898</v>
          </cell>
          <cell r="AN164">
            <v>50.299720121976698</v>
          </cell>
          <cell r="AO164">
            <v>55.901109765097402</v>
          </cell>
          <cell r="AP164">
            <v>57.678892184301802</v>
          </cell>
          <cell r="AQ164">
            <v>30.950192851274799</v>
          </cell>
          <cell r="AR164">
            <v>38.329364913599797</v>
          </cell>
          <cell r="AS164">
            <v>10.842488547279901</v>
          </cell>
        </row>
        <row r="165">
          <cell r="C165" t="str">
            <v>Somalia</v>
          </cell>
          <cell r="D165" t="str">
            <v>Somali Shilling</v>
          </cell>
          <cell r="E165" t="str">
            <v>SOS</v>
          </cell>
          <cell r="F165">
            <v>1</v>
          </cell>
          <cell r="G165" t="e">
            <v>#N/A</v>
          </cell>
          <cell r="H165" t="e">
            <v>#N/A</v>
          </cell>
          <cell r="I165">
            <v>2.37</v>
          </cell>
          <cell r="J165">
            <v>43.890999999999998</v>
          </cell>
          <cell r="K165">
            <v>732</v>
          </cell>
          <cell r="L165">
            <v>39.700000000000003</v>
          </cell>
          <cell r="M165">
            <v>136.80000000000001</v>
          </cell>
          <cell r="N165">
            <v>5367.9369999999999</v>
          </cell>
          <cell r="O165">
            <v>5419.1670000000004</v>
          </cell>
          <cell r="P165">
            <v>7.7489173214961298</v>
          </cell>
          <cell r="Q165">
            <v>18.5126613818307</v>
          </cell>
          <cell r="R165">
            <v>47.2238776274759</v>
          </cell>
          <cell r="S165">
            <v>67.251012819263707</v>
          </cell>
          <cell r="T165">
            <v>18.444422876050901</v>
          </cell>
          <cell r="U165">
            <v>28.7112162456452</v>
          </cell>
          <cell r="V165">
            <v>52.7761223725241</v>
          </cell>
          <cell r="W165">
            <v>20.027135191787799</v>
          </cell>
          <cell r="X165">
            <v>44.159441513564701</v>
          </cell>
          <cell r="Y165">
            <v>48.646696114354498</v>
          </cell>
          <cell r="Z165">
            <v>50.196565272655</v>
          </cell>
          <cell r="AA165">
            <v>24.132306321776898</v>
          </cell>
          <cell r="AB165">
            <v>30.169430080867201</v>
          </cell>
          <cell r="AC165">
            <v>31.304111803100501</v>
          </cell>
          <cell r="AD165">
            <v>8.6166808589594108</v>
          </cell>
          <cell r="AE165">
            <v>2.5795570998690902</v>
          </cell>
          <cell r="AF165">
            <v>7.5375237559573298</v>
          </cell>
          <cell r="AG165">
            <v>18.033675655317499</v>
          </cell>
          <cell r="AH165">
            <v>46.1911581613927</v>
          </cell>
          <cell r="AI165">
            <v>65.993980255637098</v>
          </cell>
          <cell r="AJ165">
            <v>18.062480820391801</v>
          </cell>
          <cell r="AK165">
            <v>28.157482506075201</v>
          </cell>
          <cell r="AL165">
            <v>53.8088418386073</v>
          </cell>
          <cell r="AM165">
            <v>19.802822094244402</v>
          </cell>
          <cell r="AN165">
            <v>44.211056791569597</v>
          </cell>
          <cell r="AO165">
            <v>49.013307764828099</v>
          </cell>
          <cell r="AP165">
            <v>50.742632585414</v>
          </cell>
          <cell r="AQ165">
            <v>24.408234697325302</v>
          </cell>
          <cell r="AR165">
            <v>30.939810491169599</v>
          </cell>
          <cell r="AS165">
            <v>9.5977850470376698</v>
          </cell>
        </row>
        <row r="166">
          <cell r="C166" t="str">
            <v>South Africa</v>
          </cell>
          <cell r="D166" t="str">
            <v>South African Rand</v>
          </cell>
          <cell r="E166" t="str">
            <v>ZAR</v>
          </cell>
          <cell r="F166">
            <v>17.867258506224058</v>
          </cell>
          <cell r="G166" t="e">
            <v>#N/A</v>
          </cell>
          <cell r="H166" t="e">
            <v>#N/A</v>
          </cell>
          <cell r="I166">
            <v>1.0820000000000001</v>
          </cell>
          <cell r="J166">
            <v>20.85</v>
          </cell>
          <cell r="K166">
            <v>138</v>
          </cell>
          <cell r="L166">
            <v>11</v>
          </cell>
          <cell r="M166">
            <v>40.5</v>
          </cell>
          <cell r="N166">
            <v>26797.256000000001</v>
          </cell>
          <cell r="O166">
            <v>27693.15</v>
          </cell>
          <cell r="P166">
            <v>3.77024796867261</v>
          </cell>
          <cell r="Q166">
            <v>10.109266411456501</v>
          </cell>
          <cell r="R166">
            <v>30.027227414627799</v>
          </cell>
          <cell r="S166">
            <v>50.8127921754377</v>
          </cell>
          <cell r="T166">
            <v>12.3980231408768</v>
          </cell>
          <cell r="U166">
            <v>19.917961003171399</v>
          </cell>
          <cell r="V166">
            <v>69.972772585372198</v>
          </cell>
          <cell r="W166">
            <v>20.785564760809802</v>
          </cell>
          <cell r="X166">
            <v>56.971575746412299</v>
          </cell>
          <cell r="Y166">
            <v>64.496193192317904</v>
          </cell>
          <cell r="Z166">
            <v>66.6120329633751</v>
          </cell>
          <cell r="AA166">
            <v>36.186010985602401</v>
          </cell>
          <cell r="AB166">
            <v>45.826468202565202</v>
          </cell>
          <cell r="AC166">
            <v>47.046246078329801</v>
          </cell>
          <cell r="AD166">
            <v>13.001196838959901</v>
          </cell>
          <cell r="AE166">
            <v>3.3607396219971202</v>
          </cell>
          <cell r="AF166">
            <v>3.7136945417910199</v>
          </cell>
          <cell r="AG166">
            <v>9.6092896618838903</v>
          </cell>
          <cell r="AH166">
            <v>28.476724388522101</v>
          </cell>
          <cell r="AI166">
            <v>46.430828562297897</v>
          </cell>
          <cell r="AJ166">
            <v>11.6619958365155</v>
          </cell>
          <cell r="AK166">
            <v>18.867434726638201</v>
          </cell>
          <cell r="AL166">
            <v>71.523275611477899</v>
          </cell>
          <cell r="AM166">
            <v>17.9541041737758</v>
          </cell>
          <cell r="AN166">
            <v>53.000261797592501</v>
          </cell>
          <cell r="AO166">
            <v>61.624766413354898</v>
          </cell>
          <cell r="AP166">
            <v>64.871403217041006</v>
          </cell>
          <cell r="AQ166">
            <v>35.046157623816697</v>
          </cell>
          <cell r="AR166">
            <v>46.917299043265203</v>
          </cell>
          <cell r="AS166">
            <v>18.523013813885399</v>
          </cell>
        </row>
        <row r="167">
          <cell r="C167" t="str">
            <v>South Sudan</v>
          </cell>
          <cell r="D167" t="str">
            <v>South Sudanese Pound</v>
          </cell>
          <cell r="E167" t="str">
            <v>SSP</v>
          </cell>
          <cell r="F167">
            <v>1</v>
          </cell>
          <cell r="G167" t="e">
            <v>#N/A</v>
          </cell>
          <cell r="H167" t="e">
            <v>#N/A</v>
          </cell>
          <cell r="I167">
            <v>4.0919999999999996</v>
          </cell>
          <cell r="J167">
            <v>37.125999999999998</v>
          </cell>
          <cell r="K167">
            <v>789</v>
          </cell>
          <cell r="L167">
            <v>39.299999999999997</v>
          </cell>
          <cell r="M167">
            <v>92.6</v>
          </cell>
          <cell r="N167">
            <v>6179.232</v>
          </cell>
          <cell r="O167">
            <v>6160.58</v>
          </cell>
          <cell r="P167">
            <v>6.68309589282293</v>
          </cell>
          <cell r="Q167">
            <v>16.0586461230133</v>
          </cell>
          <cell r="R167">
            <v>42.561794087032197</v>
          </cell>
          <cell r="S167">
            <v>63.039257953091898</v>
          </cell>
          <cell r="T167">
            <v>16.6861189222221</v>
          </cell>
          <cell r="U167">
            <v>26.503147964018801</v>
          </cell>
          <cell r="V167">
            <v>57.438205912967803</v>
          </cell>
          <cell r="W167">
            <v>20.477463866059701</v>
          </cell>
          <cell r="X167">
            <v>47.674646299087001</v>
          </cell>
          <cell r="Y167">
            <v>52.6469308807308</v>
          </cell>
          <cell r="Z167">
            <v>54.232046959881103</v>
          </cell>
          <cell r="AA167">
            <v>27.197182433027301</v>
          </cell>
          <cell r="AB167">
            <v>33.754583093821402</v>
          </cell>
          <cell r="AC167">
            <v>35.1038931698955</v>
          </cell>
          <cell r="AD167">
            <v>9.7635596138808207</v>
          </cell>
          <cell r="AE167">
            <v>3.2061589530867298</v>
          </cell>
          <cell r="AF167">
            <v>6.4990796321125597</v>
          </cell>
          <cell r="AG167">
            <v>15.640085836073901</v>
          </cell>
          <cell r="AH167">
            <v>41.608647237760103</v>
          </cell>
          <cell r="AI167">
            <v>61.863363514474301</v>
          </cell>
          <cell r="AJ167">
            <v>16.328089238350898</v>
          </cell>
          <cell r="AK167">
            <v>25.968561401686198</v>
          </cell>
          <cell r="AL167">
            <v>58.391352762239897</v>
          </cell>
          <cell r="AM167">
            <v>20.254716276714198</v>
          </cell>
          <cell r="AN167">
            <v>47.637381545244097</v>
          </cell>
          <cell r="AO167">
            <v>52.908865723681899</v>
          </cell>
          <cell r="AP167">
            <v>54.667807251914603</v>
          </cell>
          <cell r="AQ167">
            <v>27.382665268529902</v>
          </cell>
          <cell r="AR167">
            <v>34.413090975200397</v>
          </cell>
          <cell r="AS167">
            <v>10.753971216995801</v>
          </cell>
        </row>
        <row r="168">
          <cell r="C168" t="str">
            <v>Spain</v>
          </cell>
          <cell r="D168" t="str">
            <v>Euro</v>
          </cell>
          <cell r="E168" t="str">
            <v>EUR</v>
          </cell>
          <cell r="F168">
            <v>1.2617355060728741</v>
          </cell>
          <cell r="G168" t="e">
            <v>#N/A</v>
          </cell>
          <cell r="H168" t="e">
            <v>#N/A</v>
          </cell>
          <cell r="I168">
            <v>-0.20699999999999999</v>
          </cell>
          <cell r="J168">
            <v>9.1</v>
          </cell>
          <cell r="K168">
            <v>5</v>
          </cell>
          <cell r="L168">
            <v>2.8</v>
          </cell>
          <cell r="M168">
            <v>4.0999999999999996</v>
          </cell>
          <cell r="N168">
            <v>22623.600999999999</v>
          </cell>
          <cell r="O168">
            <v>23498.098000000002</v>
          </cell>
          <cell r="P168">
            <v>1.7711017799509501</v>
          </cell>
          <cell r="Q168">
            <v>4.8860921831144397</v>
          </cell>
          <cell r="R168">
            <v>15.624877754871999</v>
          </cell>
          <cell r="S168">
            <v>25.3777990515303</v>
          </cell>
          <cell r="T168">
            <v>6.6307790700516698</v>
          </cell>
          <cell r="U168">
            <v>10.7387855717576</v>
          </cell>
          <cell r="V168">
            <v>84.375122245127997</v>
          </cell>
          <cell r="W168">
            <v>9.7529212966583003</v>
          </cell>
          <cell r="X168">
            <v>47.847877974863501</v>
          </cell>
          <cell r="Y168">
            <v>62.428934279737298</v>
          </cell>
          <cell r="Z168">
            <v>67.952789655369202</v>
          </cell>
          <cell r="AA168">
            <v>38.0949566782052</v>
          </cell>
          <cell r="AB168">
            <v>58.199868358710901</v>
          </cell>
          <cell r="AC168">
            <v>63.123368379772998</v>
          </cell>
          <cell r="AD168">
            <v>36.527244270264497</v>
          </cell>
          <cell r="AE168">
            <v>16.422332589758799</v>
          </cell>
          <cell r="AF168">
            <v>1.59998907145591</v>
          </cell>
          <cell r="AG168">
            <v>4.4210429286659698</v>
          </cell>
          <cell r="AH168">
            <v>14.166138042321601</v>
          </cell>
          <cell r="AI168">
            <v>23.181591122821899</v>
          </cell>
          <cell r="AJ168">
            <v>6.0136526794636698</v>
          </cell>
          <cell r="AK168">
            <v>9.7450951136555801</v>
          </cell>
          <cell r="AL168">
            <v>85.833861957678394</v>
          </cell>
          <cell r="AM168">
            <v>9.0154530805003894</v>
          </cell>
          <cell r="AN168">
            <v>44.853323873276899</v>
          </cell>
          <cell r="AO168">
            <v>59.104962452705699</v>
          </cell>
          <cell r="AP168">
            <v>64.765356753555096</v>
          </cell>
          <cell r="AQ168">
            <v>35.837870792776499</v>
          </cell>
          <cell r="AR168">
            <v>55.749903673054703</v>
          </cell>
          <cell r="AS168">
            <v>40.980538084401601</v>
          </cell>
        </row>
        <row r="169">
          <cell r="C169" t="str">
            <v>Sri Lanka</v>
          </cell>
          <cell r="D169" t="str">
            <v>Sri Lanka Rupee</v>
          </cell>
          <cell r="E169" t="str">
            <v>LKR</v>
          </cell>
          <cell r="F169">
            <v>190.108592920354</v>
          </cell>
          <cell r="G169" t="e">
            <v>#N/A</v>
          </cell>
          <cell r="H169" t="e">
            <v>#N/A</v>
          </cell>
          <cell r="I169">
            <v>0.502</v>
          </cell>
          <cell r="J169">
            <v>17.863</v>
          </cell>
          <cell r="K169">
            <v>30</v>
          </cell>
          <cell r="L169">
            <v>5.4</v>
          </cell>
          <cell r="M169">
            <v>9.8000000000000007</v>
          </cell>
          <cell r="N169">
            <v>9979.2639999999992</v>
          </cell>
          <cell r="O169">
            <v>10735.745999999999</v>
          </cell>
          <cell r="P169">
            <v>3.2197164039352</v>
          </cell>
          <cell r="Q169">
            <v>8.3575602369072506</v>
          </cell>
          <cell r="R169">
            <v>25.694580281672099</v>
          </cell>
          <cell r="S169">
            <v>41.178497732898897</v>
          </cell>
          <cell r="T169">
            <v>10.5576623686877</v>
          </cell>
          <cell r="U169">
            <v>17.337020044764799</v>
          </cell>
          <cell r="V169">
            <v>74.305419718327897</v>
          </cell>
          <cell r="W169">
            <v>15.483917451226899</v>
          </cell>
          <cell r="X169">
            <v>50.033599672280403</v>
          </cell>
          <cell r="Y169">
            <v>61.488953493965099</v>
          </cell>
          <cell r="Z169">
            <v>65.941075413978396</v>
          </cell>
          <cell r="AA169">
            <v>34.549682221053601</v>
          </cell>
          <cell r="AB169">
            <v>50.457157962751602</v>
          </cell>
          <cell r="AC169">
            <v>54.175017315906302</v>
          </cell>
          <cell r="AD169">
            <v>24.271820046047502</v>
          </cell>
          <cell r="AE169">
            <v>8.3643443043494994</v>
          </cell>
          <cell r="AF169">
            <v>2.8815510352051898</v>
          </cell>
          <cell r="AG169">
            <v>7.5354800681759802</v>
          </cell>
          <cell r="AH169">
            <v>23.5320582286503</v>
          </cell>
          <cell r="AI169">
            <v>38.197243116593903</v>
          </cell>
          <cell r="AJ169">
            <v>9.7099447024920291</v>
          </cell>
          <cell r="AK169">
            <v>15.9965781604744</v>
          </cell>
          <cell r="AL169">
            <v>76.4679417713497</v>
          </cell>
          <cell r="AM169">
            <v>14.6651848879435</v>
          </cell>
          <cell r="AN169">
            <v>49.670437433970598</v>
          </cell>
          <cell r="AO169">
            <v>61.488339981217898</v>
          </cell>
          <cell r="AP169">
            <v>66.291946549406106</v>
          </cell>
          <cell r="AQ169">
            <v>35.005252546027101</v>
          </cell>
          <cell r="AR169">
            <v>51.626761661462602</v>
          </cell>
          <cell r="AS169">
            <v>26.797504337379099</v>
          </cell>
        </row>
        <row r="170">
          <cell r="C170" t="str">
            <v>State of Palestine</v>
          </cell>
          <cell r="D170" t="e">
            <v>#N/A</v>
          </cell>
          <cell r="E170" t="e">
            <v>#N/A</v>
          </cell>
          <cell r="F170">
            <v>1</v>
          </cell>
          <cell r="G170" t="e">
            <v>#N/A</v>
          </cell>
          <cell r="H170" t="e">
            <v>#N/A</v>
          </cell>
          <cell r="I170">
            <v>2.75</v>
          </cell>
          <cell r="J170">
            <v>30.393999999999998</v>
          </cell>
          <cell r="K170">
            <v>45</v>
          </cell>
          <cell r="L170">
            <v>11.8</v>
          </cell>
          <cell r="M170">
            <v>21.1</v>
          </cell>
          <cell r="N170">
            <v>2366.75</v>
          </cell>
          <cell r="O170">
            <v>2301.7159999999999</v>
          </cell>
          <cell r="P170">
            <v>6.30755255096651</v>
          </cell>
          <cell r="Q170">
            <v>15.1822963980142</v>
          </cell>
          <cell r="R170">
            <v>40.504531530579897</v>
          </cell>
          <cell r="S170">
            <v>62.352846730748901</v>
          </cell>
          <cell r="T170">
            <v>15.827991972113701</v>
          </cell>
          <cell r="U170">
            <v>25.322235132565801</v>
          </cell>
          <cell r="V170">
            <v>59.495468469420103</v>
          </cell>
          <cell r="W170">
            <v>21.848315200169001</v>
          </cell>
          <cell r="X170">
            <v>50.349213055878302</v>
          </cell>
          <cell r="Y170">
            <v>55.252012253089703</v>
          </cell>
          <cell r="Z170">
            <v>56.717312770677097</v>
          </cell>
          <cell r="AA170">
            <v>28.500897855709301</v>
          </cell>
          <cell r="AB170">
            <v>34.8689975705081</v>
          </cell>
          <cell r="AC170">
            <v>36.118854969895402</v>
          </cell>
          <cell r="AD170">
            <v>9.1462554135417804</v>
          </cell>
          <cell r="AE170">
            <v>2.7781556987429998</v>
          </cell>
          <cell r="AF170">
            <v>6.2054137000394496</v>
          </cell>
          <cell r="AG170">
            <v>14.9503240191231</v>
          </cell>
          <cell r="AH170">
            <v>39.932815342987602</v>
          </cell>
          <cell r="AI170">
            <v>61.539477502871797</v>
          </cell>
          <cell r="AJ170">
            <v>15.6143937827256</v>
          </cell>
          <cell r="AK170">
            <v>24.982491323864501</v>
          </cell>
          <cell r="AL170">
            <v>60.067184657012398</v>
          </cell>
          <cell r="AM170">
            <v>21.606662159884198</v>
          </cell>
          <cell r="AN170">
            <v>50.169873259776601</v>
          </cell>
          <cell r="AO170">
            <v>55.284578983679999</v>
          </cell>
          <cell r="AP170">
            <v>56.920662670807403</v>
          </cell>
          <cell r="AQ170">
            <v>28.563211099892399</v>
          </cell>
          <cell r="AR170">
            <v>35.314000510923201</v>
          </cell>
          <cell r="AS170">
            <v>9.8973113972358</v>
          </cell>
        </row>
        <row r="171">
          <cell r="C171" t="str">
            <v>Sudan</v>
          </cell>
          <cell r="D171" t="str">
            <v>Sudanese Pound</v>
          </cell>
          <cell r="E171" t="str">
            <v>SDG</v>
          </cell>
          <cell r="F171">
            <v>1</v>
          </cell>
          <cell r="G171" t="e">
            <v>#N/A</v>
          </cell>
          <cell r="H171" t="e">
            <v>#N/A</v>
          </cell>
          <cell r="I171">
            <v>2.161</v>
          </cell>
          <cell r="J171">
            <v>33.476999999999997</v>
          </cell>
          <cell r="K171">
            <v>311</v>
          </cell>
          <cell r="L171">
            <v>29.8</v>
          </cell>
          <cell r="M171">
            <v>70.099999999999994</v>
          </cell>
          <cell r="N171">
            <v>20197.019</v>
          </cell>
          <cell r="O171">
            <v>20037.863000000001</v>
          </cell>
          <cell r="P171">
            <v>6.1967808219618998</v>
          </cell>
          <cell r="Q171">
            <v>14.9882267279147</v>
          </cell>
          <cell r="R171">
            <v>40.970070880262099</v>
          </cell>
          <cell r="S171">
            <v>61.032199850879003</v>
          </cell>
          <cell r="T171">
            <v>16.1774368781848</v>
          </cell>
          <cell r="U171">
            <v>25.981844152347399</v>
          </cell>
          <cell r="V171">
            <v>59.029929119737901</v>
          </cell>
          <cell r="W171">
            <v>20.0621289706169</v>
          </cell>
          <cell r="X171">
            <v>48.905702371226198</v>
          </cell>
          <cell r="Y171">
            <v>54.1502931695019</v>
          </cell>
          <cell r="Z171">
            <v>55.917509410671002</v>
          </cell>
          <cell r="AA171">
            <v>28.843573400609301</v>
          </cell>
          <cell r="AB171">
            <v>35.855380440054098</v>
          </cell>
          <cell r="AC171">
            <v>37.165717376410903</v>
          </cell>
          <cell r="AD171">
            <v>10.1242267485118</v>
          </cell>
          <cell r="AE171">
            <v>3.1124197090669701</v>
          </cell>
          <cell r="AF171">
            <v>6.0287816120910698</v>
          </cell>
          <cell r="AG171">
            <v>14.5973350551404</v>
          </cell>
          <cell r="AH171">
            <v>40.032747005007501</v>
          </cell>
          <cell r="AI171">
            <v>59.813678734104499</v>
          </cell>
          <cell r="AJ171">
            <v>15.817569967416199</v>
          </cell>
          <cell r="AK171">
            <v>25.435411949867099</v>
          </cell>
          <cell r="AL171">
            <v>59.967252994992599</v>
          </cell>
          <cell r="AM171">
            <v>19.780931729097102</v>
          </cell>
          <cell r="AN171">
            <v>48.933222070637001</v>
          </cell>
          <cell r="AO171">
            <v>54.501510465462303</v>
          </cell>
          <cell r="AP171">
            <v>56.4218699369289</v>
          </cell>
          <cell r="AQ171">
            <v>29.152290341539899</v>
          </cell>
          <cell r="AR171">
            <v>36.640938207831901</v>
          </cell>
          <cell r="AS171">
            <v>11.0340309243556</v>
          </cell>
        </row>
        <row r="172">
          <cell r="C172" t="str">
            <v>Suriname</v>
          </cell>
          <cell r="D172" t="str">
            <v>Surinam Dollar</v>
          </cell>
          <cell r="E172" t="str">
            <v>SRD</v>
          </cell>
          <cell r="F172">
            <v>1</v>
          </cell>
          <cell r="G172" t="e">
            <v>#N/A</v>
          </cell>
          <cell r="H172" t="e">
            <v>#N/A</v>
          </cell>
          <cell r="I172">
            <v>0.93600000000000005</v>
          </cell>
          <cell r="J172">
            <v>18.454999999999998</v>
          </cell>
          <cell r="K172">
            <v>155</v>
          </cell>
          <cell r="L172">
            <v>11.5</v>
          </cell>
          <cell r="M172">
            <v>21.3</v>
          </cell>
          <cell r="N172">
            <v>272.03800000000001</v>
          </cell>
          <cell r="O172">
            <v>270.93700000000001</v>
          </cell>
          <cell r="P172">
            <v>3.6208176798829599</v>
          </cell>
          <cell r="Q172">
            <v>9.1630581021768993</v>
          </cell>
          <cell r="R172">
            <v>27.4307265896676</v>
          </cell>
          <cell r="S172">
            <v>44.344540101015298</v>
          </cell>
          <cell r="T172">
            <v>11.063895485189599</v>
          </cell>
          <cell r="U172">
            <v>18.267668487490699</v>
          </cell>
          <cell r="V172">
            <v>72.5692734103324</v>
          </cell>
          <cell r="W172">
            <v>16.913813511347701</v>
          </cell>
          <cell r="X172">
            <v>52.879744741543497</v>
          </cell>
          <cell r="Y172">
            <v>63.560605503642897</v>
          </cell>
          <cell r="Z172">
            <v>66.732221233798199</v>
          </cell>
          <cell r="AA172">
            <v>35.9659312301958</v>
          </cell>
          <cell r="AB172">
            <v>49.818407722450502</v>
          </cell>
          <cell r="AC172">
            <v>52.028025496437998</v>
          </cell>
          <cell r="AD172">
            <v>19.689528668788899</v>
          </cell>
          <cell r="AE172">
            <v>5.8370521765341596</v>
          </cell>
          <cell r="AF172">
            <v>3.4653812509919302</v>
          </cell>
          <cell r="AG172">
            <v>8.5842834312035592</v>
          </cell>
          <cell r="AH172">
            <v>26.130428845082101</v>
          </cell>
          <cell r="AI172">
            <v>42.509882371178499</v>
          </cell>
          <cell r="AJ172">
            <v>10.416812764591</v>
          </cell>
          <cell r="AK172">
            <v>17.546145413878499</v>
          </cell>
          <cell r="AL172">
            <v>73.869571154917907</v>
          </cell>
          <cell r="AM172">
            <v>16.379453526096501</v>
          </cell>
          <cell r="AN172">
            <v>51.547776789438103</v>
          </cell>
          <cell r="AO172">
            <v>62.388673381634803</v>
          </cell>
          <cell r="AP172">
            <v>65.930825247197703</v>
          </cell>
          <cell r="AQ172">
            <v>35.168323263341698</v>
          </cell>
          <cell r="AR172">
            <v>49.551371721101198</v>
          </cell>
          <cell r="AS172">
            <v>22.3217943654798</v>
          </cell>
        </row>
        <row r="173">
          <cell r="C173" t="str">
            <v>Swaziland</v>
          </cell>
          <cell r="D173" t="str">
            <v>Lilangeni</v>
          </cell>
          <cell r="E173" t="str">
            <v>SZL</v>
          </cell>
          <cell r="F173">
            <v>1</v>
          </cell>
          <cell r="G173" t="e">
            <v>#N/A</v>
          </cell>
          <cell r="H173" t="e">
            <v>#N/A</v>
          </cell>
          <cell r="I173">
            <v>1.514</v>
          </cell>
          <cell r="J173">
            <v>30.093</v>
          </cell>
          <cell r="K173">
            <v>389</v>
          </cell>
          <cell r="L173">
            <v>14.2</v>
          </cell>
          <cell r="M173">
            <v>60.7</v>
          </cell>
          <cell r="N173">
            <v>636.44200000000001</v>
          </cell>
          <cell r="O173">
            <v>650.52800000000002</v>
          </cell>
          <cell r="P173">
            <v>5.6003532136471197</v>
          </cell>
          <cell r="Q173">
            <v>13.727723814581701</v>
          </cell>
          <cell r="R173">
            <v>38.024831799284101</v>
          </cell>
          <cell r="S173">
            <v>61.492170535571198</v>
          </cell>
          <cell r="T173">
            <v>15.016922201866</v>
          </cell>
          <cell r="U173">
            <v>24.2971079847025</v>
          </cell>
          <cell r="V173">
            <v>61.9751682007158</v>
          </cell>
          <cell r="W173">
            <v>23.467338736287001</v>
          </cell>
          <cell r="X173">
            <v>52.9463800314876</v>
          </cell>
          <cell r="Y173">
            <v>57.209140817230796</v>
          </cell>
          <cell r="Z173">
            <v>58.898375657169098</v>
          </cell>
          <cell r="AA173">
            <v>29.479041295200499</v>
          </cell>
          <cell r="AB173">
            <v>35.431036920882001</v>
          </cell>
          <cell r="AC173">
            <v>36.761873037920203</v>
          </cell>
          <cell r="AD173">
            <v>9.0287881692282994</v>
          </cell>
          <cell r="AE173">
            <v>3.0767925435467798</v>
          </cell>
          <cell r="AF173">
            <v>5.3862401003492604</v>
          </cell>
          <cell r="AG173">
            <v>13.223566087854801</v>
          </cell>
          <cell r="AH173">
            <v>36.699573269713198</v>
          </cell>
          <cell r="AI173">
            <v>59.423575926017001</v>
          </cell>
          <cell r="AJ173">
            <v>14.5056016036204</v>
          </cell>
          <cell r="AK173">
            <v>23.4760071818584</v>
          </cell>
          <cell r="AL173">
            <v>63.300426730286802</v>
          </cell>
          <cell r="AM173">
            <v>22.724002656303799</v>
          </cell>
          <cell r="AN173">
            <v>51.410853952481702</v>
          </cell>
          <cell r="AO173">
            <v>56.9977003295784</v>
          </cell>
          <cell r="AP173">
            <v>59.222508485414899</v>
          </cell>
          <cell r="AQ173">
            <v>28.686851296177899</v>
          </cell>
          <cell r="AR173">
            <v>36.498505829111103</v>
          </cell>
          <cell r="AS173">
            <v>11.8895727778051</v>
          </cell>
        </row>
        <row r="174">
          <cell r="C174" t="str">
            <v>Sweden</v>
          </cell>
          <cell r="D174" t="str">
            <v>Swedish Krona</v>
          </cell>
          <cell r="E174" t="str">
            <v>SEK</v>
          </cell>
          <cell r="F174">
            <v>11.798070833333339</v>
          </cell>
          <cell r="G174" t="e">
            <v>#N/A</v>
          </cell>
          <cell r="H174" t="e">
            <v>#N/A</v>
          </cell>
          <cell r="I174">
            <v>0.82899999999999996</v>
          </cell>
          <cell r="J174">
            <v>11.8</v>
          </cell>
          <cell r="K174">
            <v>4</v>
          </cell>
          <cell r="L174">
            <v>1.6</v>
          </cell>
          <cell r="M174">
            <v>3</v>
          </cell>
          <cell r="N174">
            <v>4886.817</v>
          </cell>
          <cell r="O174">
            <v>4892.6090000000004</v>
          </cell>
          <cell r="P174">
            <v>2.4074566328143701</v>
          </cell>
          <cell r="Q174">
            <v>6.2017055273401898</v>
          </cell>
          <cell r="R174">
            <v>17.769705720512999</v>
          </cell>
          <cell r="S174">
            <v>30.435271056804499</v>
          </cell>
          <cell r="T174">
            <v>7.25660486161033</v>
          </cell>
          <cell r="U174">
            <v>11.5680001931728</v>
          </cell>
          <cell r="V174">
            <v>82.230294279486998</v>
          </cell>
          <cell r="W174">
            <v>12.6655653362915</v>
          </cell>
          <cell r="X174">
            <v>46.018256873543699</v>
          </cell>
          <cell r="Y174">
            <v>58.280144314796303</v>
          </cell>
          <cell r="Z174">
            <v>63.862653338563703</v>
          </cell>
          <cell r="AA174">
            <v>33.352691537252198</v>
          </cell>
          <cell r="AB174">
            <v>51.197088002272203</v>
          </cell>
          <cell r="AC174">
            <v>57.663362470909</v>
          </cell>
          <cell r="AD174">
            <v>36.212037405943398</v>
          </cell>
          <cell r="AE174">
            <v>18.367640940923302</v>
          </cell>
          <cell r="AF174">
            <v>2.28710285248627</v>
          </cell>
          <cell r="AG174">
            <v>5.8658887313496697</v>
          </cell>
          <cell r="AH174">
            <v>16.800627231810299</v>
          </cell>
          <cell r="AI174">
            <v>28.737326036067898</v>
          </cell>
          <cell r="AJ174">
            <v>6.8515387189125496</v>
          </cell>
          <cell r="AK174">
            <v>10.9347385004606</v>
          </cell>
          <cell r="AL174">
            <v>83.199372768189704</v>
          </cell>
          <cell r="AM174">
            <v>11.936698804257601</v>
          </cell>
          <cell r="AN174">
            <v>44.074705336150899</v>
          </cell>
          <cell r="AO174">
            <v>56.075030724915898</v>
          </cell>
          <cell r="AP174">
            <v>61.684839315792402</v>
          </cell>
          <cell r="AQ174">
            <v>32.138006531893303</v>
          </cell>
          <cell r="AR174">
            <v>49.7481405115348</v>
          </cell>
          <cell r="AS174">
            <v>39.124667432038798</v>
          </cell>
        </row>
        <row r="175">
          <cell r="C175" t="str">
            <v>Switzerland</v>
          </cell>
          <cell r="D175" t="str">
            <v>WIR Euro (complementary currency)</v>
          </cell>
          <cell r="E175" t="str">
            <v>CHE</v>
          </cell>
          <cell r="F175">
            <v>1</v>
          </cell>
          <cell r="G175" t="e">
            <v>#N/A</v>
          </cell>
          <cell r="H175" t="e">
            <v>#N/A</v>
          </cell>
          <cell r="I175">
            <v>1.161</v>
          </cell>
          <cell r="J175">
            <v>10.199999999999999</v>
          </cell>
          <cell r="K175">
            <v>5</v>
          </cell>
          <cell r="L175">
            <v>2.7</v>
          </cell>
          <cell r="M175">
            <v>3.9</v>
          </cell>
          <cell r="N175">
            <v>4109.3649999999998</v>
          </cell>
          <cell r="O175">
            <v>4189.2979999999998</v>
          </cell>
          <cell r="P175">
            <v>2.1357314329586199</v>
          </cell>
          <cell r="Q175">
            <v>5.2928372145088103</v>
          </cell>
          <cell r="R175">
            <v>15.3180844242359</v>
          </cell>
          <cell r="S175">
            <v>27.0546665969073</v>
          </cell>
          <cell r="T175">
            <v>6.0492801199211996</v>
          </cell>
          <cell r="U175">
            <v>10.025247209727</v>
          </cell>
          <cell r="V175">
            <v>84.681915575764094</v>
          </cell>
          <cell r="W175">
            <v>11.736582172671399</v>
          </cell>
          <cell r="X175">
            <v>48.290477969224</v>
          </cell>
          <cell r="Y175">
            <v>63.064244719074601</v>
          </cell>
          <cell r="Z175">
            <v>68.563366846215899</v>
          </cell>
          <cell r="AA175">
            <v>36.553895796552503</v>
          </cell>
          <cell r="AB175">
            <v>56.826784673544402</v>
          </cell>
          <cell r="AC175">
            <v>62.096187610494603</v>
          </cell>
          <cell r="AD175">
            <v>36.391437606540201</v>
          </cell>
          <cell r="AE175">
            <v>16.118548729548198</v>
          </cell>
          <cell r="AF175">
            <v>1.97708542099416</v>
          </cell>
          <cell r="AG175">
            <v>4.9094860284467696</v>
          </cell>
          <cell r="AH175">
            <v>14.2429829532299</v>
          </cell>
          <cell r="AI175">
            <v>25.276645395004099</v>
          </cell>
          <cell r="AJ175">
            <v>5.6313492141165398</v>
          </cell>
          <cell r="AK175">
            <v>9.3334969247831001</v>
          </cell>
          <cell r="AL175">
            <v>85.757017046770102</v>
          </cell>
          <cell r="AM175">
            <v>11.0336624417743</v>
          </cell>
          <cell r="AN175">
            <v>46.147469098641302</v>
          </cell>
          <cell r="AO175">
            <v>60.288764370546097</v>
          </cell>
          <cell r="AP175">
            <v>65.828570801122297</v>
          </cell>
          <cell r="AQ175">
            <v>35.113806656867098</v>
          </cell>
          <cell r="AR175">
            <v>54.794908359348</v>
          </cell>
          <cell r="AS175">
            <v>39.6095479481288</v>
          </cell>
        </row>
        <row r="176">
          <cell r="C176" t="str">
            <v>Syrian Arab Republic</v>
          </cell>
          <cell r="D176" t="str">
            <v>Syrian Pound</v>
          </cell>
          <cell r="E176" t="str">
            <v>SYP</v>
          </cell>
          <cell r="F176">
            <v>1</v>
          </cell>
          <cell r="G176" t="e">
            <v>#N/A</v>
          </cell>
          <cell r="H176" t="e">
            <v>#N/A</v>
          </cell>
          <cell r="I176">
            <v>-2.2650000000000001</v>
          </cell>
          <cell r="J176">
            <v>24.042999999999999</v>
          </cell>
          <cell r="K176">
            <v>68</v>
          </cell>
          <cell r="L176">
            <v>7</v>
          </cell>
          <cell r="M176">
            <v>12.9</v>
          </cell>
          <cell r="N176">
            <v>9366.509</v>
          </cell>
          <cell r="O176">
            <v>9135.9040000000005</v>
          </cell>
          <cell r="P176">
            <v>4.6510177911535697</v>
          </cell>
          <cell r="Q176">
            <v>11.9961343121541</v>
          </cell>
          <cell r="R176">
            <v>37.572600421352298</v>
          </cell>
          <cell r="S176">
            <v>58.191007983871003</v>
          </cell>
          <cell r="T176">
            <v>15.387792826548299</v>
          </cell>
          <cell r="U176">
            <v>25.576466109198201</v>
          </cell>
          <cell r="V176">
            <v>62.427399578647702</v>
          </cell>
          <cell r="W176">
            <v>20.618407562518801</v>
          </cell>
          <cell r="X176">
            <v>49.865419442825498</v>
          </cell>
          <cell r="Y176">
            <v>56.415362436527801</v>
          </cell>
          <cell r="Z176">
            <v>58.702842222219601</v>
          </cell>
          <cell r="AA176">
            <v>29.247011880306701</v>
          </cell>
          <cell r="AB176">
            <v>38.084434659700797</v>
          </cell>
          <cell r="AC176">
            <v>39.5610573800762</v>
          </cell>
          <cell r="AD176">
            <v>12.5619801358222</v>
          </cell>
          <cell r="AE176">
            <v>3.7245573564280998</v>
          </cell>
          <cell r="AF176">
            <v>4.5355993232853598</v>
          </cell>
          <cell r="AG176">
            <v>11.689976164373</v>
          </cell>
          <cell r="AH176">
            <v>36.661473237897397</v>
          </cell>
          <cell r="AI176">
            <v>55.996571329996499</v>
          </cell>
          <cell r="AJ176">
            <v>15.036782347975601</v>
          </cell>
          <cell r="AK176">
            <v>24.9714970735244</v>
          </cell>
          <cell r="AL176">
            <v>63.338526762102603</v>
          </cell>
          <cell r="AM176">
            <v>19.335098092098999</v>
          </cell>
          <cell r="AN176">
            <v>49.441204723692401</v>
          </cell>
          <cell r="AO176">
            <v>56.461604675355602</v>
          </cell>
          <cell r="AP176">
            <v>58.925914720645103</v>
          </cell>
          <cell r="AQ176">
            <v>30.106106631593299</v>
          </cell>
          <cell r="AR176">
            <v>39.590816628546001</v>
          </cell>
          <cell r="AS176">
            <v>13.8973220384102</v>
          </cell>
        </row>
        <row r="177">
          <cell r="C177" t="str">
            <v>Tajikistan</v>
          </cell>
          <cell r="D177" t="str">
            <v>Somoni</v>
          </cell>
          <cell r="E177" t="str">
            <v>TJS</v>
          </cell>
          <cell r="F177">
            <v>1</v>
          </cell>
          <cell r="G177" t="e">
            <v>#N/A</v>
          </cell>
          <cell r="H177" t="e">
            <v>#N/A</v>
          </cell>
          <cell r="I177">
            <v>2.2440000000000002</v>
          </cell>
          <cell r="J177">
            <v>30.792000000000002</v>
          </cell>
          <cell r="K177">
            <v>32</v>
          </cell>
          <cell r="L177">
            <v>20.5</v>
          </cell>
          <cell r="M177">
            <v>44.8</v>
          </cell>
          <cell r="N177">
            <v>4295.8410000000003</v>
          </cell>
          <cell r="O177">
            <v>4186.0140000000001</v>
          </cell>
          <cell r="P177">
            <v>6.0117215697694597</v>
          </cell>
          <cell r="Q177">
            <v>14.0920020084542</v>
          </cell>
          <cell r="R177">
            <v>35.555296390159697</v>
          </cell>
          <cell r="S177">
            <v>55.8663134878595</v>
          </cell>
          <cell r="T177">
            <v>13.506901209798</v>
          </cell>
          <cell r="U177">
            <v>21.463294381705499</v>
          </cell>
          <cell r="V177">
            <v>64.444703609840303</v>
          </cell>
          <cell r="W177">
            <v>20.3110170976998</v>
          </cell>
          <cell r="X177">
            <v>52.351309091747098</v>
          </cell>
          <cell r="Y177">
            <v>59.605558026938098</v>
          </cell>
          <cell r="Z177">
            <v>61.514893125699899</v>
          </cell>
          <cell r="AA177">
            <v>32.040291994047301</v>
          </cell>
          <cell r="AB177">
            <v>41.203876028000103</v>
          </cell>
          <cell r="AC177">
            <v>42.129189604550099</v>
          </cell>
          <cell r="AD177">
            <v>12.0933945180932</v>
          </cell>
          <cell r="AE177">
            <v>2.92981048414036</v>
          </cell>
          <cell r="AF177">
            <v>5.9363633279774</v>
          </cell>
          <cell r="AG177">
            <v>13.6224341342384</v>
          </cell>
          <cell r="AH177">
            <v>34.100960961907901</v>
          </cell>
          <cell r="AI177">
            <v>54.235341783376697</v>
          </cell>
          <cell r="AJ177">
            <v>12.7123798439279</v>
          </cell>
          <cell r="AK177">
            <v>20.478526827669501</v>
          </cell>
          <cell r="AL177">
            <v>65.899039038092099</v>
          </cell>
          <cell r="AM177">
            <v>20.134380821468799</v>
          </cell>
          <cell r="AN177">
            <v>53.0418914031344</v>
          </cell>
          <cell r="AO177">
            <v>60.704264247563401</v>
          </cell>
          <cell r="AP177">
            <v>62.814266746360602</v>
          </cell>
          <cell r="AQ177">
            <v>32.907510581665498</v>
          </cell>
          <cell r="AR177">
            <v>42.679885924891799</v>
          </cell>
          <cell r="AS177">
            <v>12.8571476349577</v>
          </cell>
        </row>
        <row r="178">
          <cell r="C178" t="str">
            <v>Thailand</v>
          </cell>
          <cell r="D178" t="str">
            <v>Baht</v>
          </cell>
          <cell r="E178" t="str">
            <v>THB</v>
          </cell>
          <cell r="F178">
            <v>47.975779220779216</v>
          </cell>
          <cell r="G178" t="e">
            <v>#N/A</v>
          </cell>
          <cell r="H178" t="e">
            <v>#N/A</v>
          </cell>
          <cell r="I178">
            <v>0.376</v>
          </cell>
          <cell r="J178">
            <v>11.041</v>
          </cell>
          <cell r="K178">
            <v>20</v>
          </cell>
          <cell r="L178">
            <v>6.7</v>
          </cell>
          <cell r="M178">
            <v>12.3</v>
          </cell>
          <cell r="N178">
            <v>33494.788999999997</v>
          </cell>
          <cell r="O178">
            <v>34464.57</v>
          </cell>
          <cell r="P178">
            <v>2.2692723933863301</v>
          </cell>
          <cell r="Q178">
            <v>5.8248642796346601</v>
          </cell>
          <cell r="R178">
            <v>18.405110717371599</v>
          </cell>
          <cell r="S178">
            <v>31.874570101038699</v>
          </cell>
          <cell r="T178">
            <v>7.4472748581876402</v>
          </cell>
          <cell r="U178">
            <v>12.5802464377369</v>
          </cell>
          <cell r="V178">
            <v>81.594889282628401</v>
          </cell>
          <cell r="W178">
            <v>13.4694593836671</v>
          </cell>
          <cell r="X178">
            <v>52.7899727924842</v>
          </cell>
          <cell r="Y178">
            <v>66.884550310199003</v>
          </cell>
          <cell r="Z178">
            <v>72.069532965262198</v>
          </cell>
          <cell r="AA178">
            <v>39.320513408817099</v>
          </cell>
          <cell r="AB178">
            <v>58.600073581594998</v>
          </cell>
          <cell r="AC178">
            <v>62.186541912534501</v>
          </cell>
          <cell r="AD178">
            <v>28.804916490144201</v>
          </cell>
          <cell r="AE178">
            <v>9.5253563173662599</v>
          </cell>
          <cell r="AF178">
            <v>2.0948353628088201</v>
          </cell>
          <cell r="AG178">
            <v>5.3619412631580801</v>
          </cell>
          <cell r="AH178">
            <v>17.0359705633931</v>
          </cell>
          <cell r="AI178">
            <v>29.946504482719501</v>
          </cell>
          <cell r="AJ178">
            <v>6.8726666254649302</v>
          </cell>
          <cell r="AK178">
            <v>11.674029300235</v>
          </cell>
          <cell r="AL178">
            <v>82.964029436606907</v>
          </cell>
          <cell r="AM178">
            <v>12.910533919326401</v>
          </cell>
          <cell r="AN178">
            <v>51.548686085449503</v>
          </cell>
          <cell r="AO178">
            <v>66.125531233960004</v>
          </cell>
          <cell r="AP178">
            <v>71.572278429703303</v>
          </cell>
          <cell r="AQ178">
            <v>38.638152166123099</v>
          </cell>
          <cell r="AR178">
            <v>58.661744510376899</v>
          </cell>
          <cell r="AS178">
            <v>31.4153433511574</v>
          </cell>
        </row>
        <row r="179">
          <cell r="C179" t="str">
            <v>The former Yugoslav Republic of Macedonia</v>
          </cell>
          <cell r="D179" t="str">
            <v>Denar</v>
          </cell>
          <cell r="E179" t="str">
            <v>MKD</v>
          </cell>
          <cell r="F179">
            <v>1</v>
          </cell>
          <cell r="G179" t="e">
            <v>#N/A</v>
          </cell>
          <cell r="H179" t="e">
            <v>#N/A</v>
          </cell>
          <cell r="I179">
            <v>0.155</v>
          </cell>
          <cell r="J179">
            <v>11.222</v>
          </cell>
          <cell r="K179">
            <v>8</v>
          </cell>
          <cell r="L179">
            <v>3.5</v>
          </cell>
          <cell r="M179">
            <v>5.5</v>
          </cell>
          <cell r="N179">
            <v>1034.6500000000001</v>
          </cell>
          <cell r="O179">
            <v>1043.8030000000001</v>
          </cell>
          <cell r="P179">
            <v>2.3896969989851602</v>
          </cell>
          <cell r="Q179">
            <v>5.7131397090803597</v>
          </cell>
          <cell r="R179">
            <v>17.453824964963999</v>
          </cell>
          <cell r="S179">
            <v>31.6676170685739</v>
          </cell>
          <cell r="T179">
            <v>6.7345479147537803</v>
          </cell>
          <cell r="U179">
            <v>11.7406852558836</v>
          </cell>
          <cell r="V179">
            <v>82.546175035036001</v>
          </cell>
          <cell r="W179">
            <v>14.213792103609901</v>
          </cell>
          <cell r="X179">
            <v>52.432030155124899</v>
          </cell>
          <cell r="Y179">
            <v>65.781761948484998</v>
          </cell>
          <cell r="Z179">
            <v>71.831730536896501</v>
          </cell>
          <cell r="AA179">
            <v>38.218238051515002</v>
          </cell>
          <cell r="AB179">
            <v>57.617938433286596</v>
          </cell>
          <cell r="AC179">
            <v>61.604697240612801</v>
          </cell>
          <cell r="AD179">
            <v>30.114144879911098</v>
          </cell>
          <cell r="AE179">
            <v>10.7144444981395</v>
          </cell>
          <cell r="AF179">
            <v>2.2524365229837402</v>
          </cell>
          <cell r="AG179">
            <v>5.3869360406130298</v>
          </cell>
          <cell r="AH179">
            <v>16.456745190423899</v>
          </cell>
          <cell r="AI179">
            <v>29.8875362496563</v>
          </cell>
          <cell r="AJ179">
            <v>6.3492823837448302</v>
          </cell>
          <cell r="AK179">
            <v>11.0698091498108</v>
          </cell>
          <cell r="AL179">
            <v>83.543254809576098</v>
          </cell>
          <cell r="AM179">
            <v>13.4307910592324</v>
          </cell>
          <cell r="AN179">
            <v>49.991712995651497</v>
          </cell>
          <cell r="AO179">
            <v>63.283109935495503</v>
          </cell>
          <cell r="AP179">
            <v>69.626165090539104</v>
          </cell>
          <cell r="AQ179">
            <v>36.560921936419</v>
          </cell>
          <cell r="AR179">
            <v>56.195374031306699</v>
          </cell>
          <cell r="AS179">
            <v>33.5515418139247</v>
          </cell>
        </row>
        <row r="180">
          <cell r="C180" t="str">
            <v>Timor-Leste</v>
          </cell>
          <cell r="D180" t="str">
            <v>US Dollar</v>
          </cell>
          <cell r="E180" t="str">
            <v>USD</v>
          </cell>
          <cell r="F180">
            <v>1.3988592400000002</v>
          </cell>
          <cell r="G180" t="e">
            <v>#N/A</v>
          </cell>
          <cell r="H180" t="e">
            <v>#N/A</v>
          </cell>
          <cell r="I180">
            <v>2.2799999999999998</v>
          </cell>
          <cell r="J180">
            <v>35.755000000000003</v>
          </cell>
          <cell r="K180">
            <v>215</v>
          </cell>
          <cell r="L180">
            <v>22.3</v>
          </cell>
          <cell r="M180">
            <v>52.6</v>
          </cell>
          <cell r="N180">
            <v>601.57299999999998</v>
          </cell>
          <cell r="O180">
            <v>583.19200000000001</v>
          </cell>
          <cell r="P180">
            <v>8.0143224513068194</v>
          </cell>
          <cell r="Q180">
            <v>17.273714079588</v>
          </cell>
          <cell r="R180">
            <v>42.652845124365598</v>
          </cell>
          <cell r="S180">
            <v>62.545692708948003</v>
          </cell>
          <cell r="T180">
            <v>15.2171058209062</v>
          </cell>
          <cell r="U180">
            <v>25.379131044777601</v>
          </cell>
          <cell r="V180">
            <v>57.347154875634402</v>
          </cell>
          <cell r="W180">
            <v>19.892847584582402</v>
          </cell>
          <cell r="X180">
            <v>45.186203503149201</v>
          </cell>
          <cell r="Y180">
            <v>50.553299433318998</v>
          </cell>
          <cell r="Z180">
            <v>52.141801576866001</v>
          </cell>
          <cell r="AA180">
            <v>25.2933559185668</v>
          </cell>
          <cell r="AB180">
            <v>32.248953992283603</v>
          </cell>
          <cell r="AC180">
            <v>35.055429681850697</v>
          </cell>
          <cell r="AD180">
            <v>12.160951372485099</v>
          </cell>
          <cell r="AE180">
            <v>5.2053532987683901</v>
          </cell>
          <cell r="AF180">
            <v>7.9865636016954999</v>
          </cell>
          <cell r="AG180">
            <v>17.1158040576688</v>
          </cell>
          <cell r="AH180">
            <v>42.1615865786911</v>
          </cell>
          <cell r="AI180">
            <v>61.800401925952301</v>
          </cell>
          <cell r="AJ180">
            <v>14.9671120317151</v>
          </cell>
          <cell r="AK180">
            <v>25.0457825210222</v>
          </cell>
          <cell r="AL180">
            <v>57.8384134213089</v>
          </cell>
          <cell r="AM180">
            <v>19.6388153472613</v>
          </cell>
          <cell r="AN180">
            <v>44.944032154076197</v>
          </cell>
          <cell r="AO180">
            <v>50.232684947667302</v>
          </cell>
          <cell r="AP180">
            <v>51.871767788309903</v>
          </cell>
          <cell r="AQ180">
            <v>25.305216806814901</v>
          </cell>
          <cell r="AR180">
            <v>32.232952441048603</v>
          </cell>
          <cell r="AS180">
            <v>12.894381267232699</v>
          </cell>
        </row>
        <row r="181">
          <cell r="C181" t="str">
            <v>Togo</v>
          </cell>
          <cell r="D181" t="str">
            <v>CFA Franc BCEAO</v>
          </cell>
          <cell r="E181" t="str">
            <v>XOF</v>
          </cell>
          <cell r="F181">
            <v>1</v>
          </cell>
          <cell r="G181" t="e">
            <v>#N/A</v>
          </cell>
          <cell r="H181" t="e">
            <v>#N/A</v>
          </cell>
          <cell r="I181">
            <v>2.673</v>
          </cell>
          <cell r="J181">
            <v>36.08</v>
          </cell>
          <cell r="K181">
            <v>368</v>
          </cell>
          <cell r="L181">
            <v>26.7</v>
          </cell>
          <cell r="M181">
            <v>78.400000000000006</v>
          </cell>
          <cell r="N181">
            <v>3609.0949999999998</v>
          </cell>
          <cell r="O181">
            <v>3695.4830000000002</v>
          </cell>
          <cell r="P181">
            <v>6.6475113567251602</v>
          </cell>
          <cell r="Q181">
            <v>16.127616480031701</v>
          </cell>
          <cell r="R181">
            <v>42.871523193487597</v>
          </cell>
          <cell r="S181">
            <v>62.648808080696099</v>
          </cell>
          <cell r="T181">
            <v>16.977109219901401</v>
          </cell>
          <cell r="U181">
            <v>26.7439067134559</v>
          </cell>
          <cell r="V181">
            <v>57.128476806512403</v>
          </cell>
          <cell r="W181">
            <v>19.777284887208602</v>
          </cell>
          <cell r="X181">
            <v>48.459322905049603</v>
          </cell>
          <cell r="Y181">
            <v>53.060448672035498</v>
          </cell>
          <cell r="Z181">
            <v>54.619288214912601</v>
          </cell>
          <cell r="AA181">
            <v>28.682038017840998</v>
          </cell>
          <cell r="AB181">
            <v>34.842003327703999</v>
          </cell>
          <cell r="AC181">
            <v>35.985641829876997</v>
          </cell>
          <cell r="AD181">
            <v>8.6691539014628294</v>
          </cell>
          <cell r="AE181">
            <v>2.50918859159983</v>
          </cell>
          <cell r="AF181">
            <v>6.4318250144839002</v>
          </cell>
          <cell r="AG181">
            <v>15.6397147544719</v>
          </cell>
          <cell r="AH181">
            <v>41.621514697808102</v>
          </cell>
          <cell r="AI181">
            <v>60.8641143796359</v>
          </cell>
          <cell r="AJ181">
            <v>16.507936851556298</v>
          </cell>
          <cell r="AK181">
            <v>25.981799943336199</v>
          </cell>
          <cell r="AL181">
            <v>58.378485302191898</v>
          </cell>
          <cell r="AM181">
            <v>19.242599681827802</v>
          </cell>
          <cell r="AN181">
            <v>48.298395635969598</v>
          </cell>
          <cell r="AO181">
            <v>53.551051378128399</v>
          </cell>
          <cell r="AP181">
            <v>55.364102608508801</v>
          </cell>
          <cell r="AQ181">
            <v>29.0557959541419</v>
          </cell>
          <cell r="AR181">
            <v>36.121502926681003</v>
          </cell>
          <cell r="AS181">
            <v>10.0800896662223</v>
          </cell>
        </row>
        <row r="182">
          <cell r="C182" t="str">
            <v>Tonga</v>
          </cell>
          <cell r="D182" t="str">
            <v>Pa'anga</v>
          </cell>
          <cell r="E182" t="str">
            <v>TOP</v>
          </cell>
          <cell r="F182">
            <v>1</v>
          </cell>
          <cell r="G182" t="e">
            <v>#N/A</v>
          </cell>
          <cell r="H182" t="e">
            <v>#N/A</v>
          </cell>
          <cell r="I182">
            <v>0.42299999999999999</v>
          </cell>
          <cell r="J182">
            <v>25.408999999999999</v>
          </cell>
          <cell r="K182">
            <v>124</v>
          </cell>
          <cell r="L182">
            <v>6.9</v>
          </cell>
          <cell r="M182">
            <v>16.7</v>
          </cell>
          <cell r="N182">
            <v>53.238999999999997</v>
          </cell>
          <cell r="O182">
            <v>52.930999999999997</v>
          </cell>
          <cell r="P182">
            <v>4.8780029677492101</v>
          </cell>
          <cell r="Q182">
            <v>12.4288585435489</v>
          </cell>
          <cell r="R182">
            <v>37.9496233963824</v>
          </cell>
          <cell r="S182">
            <v>58.560453802663503</v>
          </cell>
          <cell r="T182">
            <v>15.479253930389399</v>
          </cell>
          <cell r="U182">
            <v>25.520764852833501</v>
          </cell>
          <cell r="V182">
            <v>62.0503766036176</v>
          </cell>
          <cell r="W182">
            <v>20.610830406281099</v>
          </cell>
          <cell r="X182">
            <v>48.214654670448397</v>
          </cell>
          <cell r="Y182">
            <v>55.156933826706002</v>
          </cell>
          <cell r="Z182">
            <v>57.230601626627099</v>
          </cell>
          <cell r="AA182">
            <v>27.603824264167201</v>
          </cell>
          <cell r="AB182">
            <v>36.619771220346003</v>
          </cell>
          <cell r="AC182">
            <v>38.208831871372503</v>
          </cell>
          <cell r="AD182">
            <v>13.8357219331693</v>
          </cell>
          <cell r="AE182">
            <v>4.8197749769905496</v>
          </cell>
          <cell r="AF182">
            <v>4.6513385350739602</v>
          </cell>
          <cell r="AG182">
            <v>11.8890631199108</v>
          </cell>
          <cell r="AH182">
            <v>35.570837505431598</v>
          </cell>
          <cell r="AI182">
            <v>54.6655079254123</v>
          </cell>
          <cell r="AJ182">
            <v>14.5321267310272</v>
          </cell>
          <cell r="AK182">
            <v>23.6817743855208</v>
          </cell>
          <cell r="AL182">
            <v>64.429162494568402</v>
          </cell>
          <cell r="AM182">
            <v>19.094670419980702</v>
          </cell>
          <cell r="AN182">
            <v>47.503353422380101</v>
          </cell>
          <cell r="AO182">
            <v>55.001794789442798</v>
          </cell>
          <cell r="AP182">
            <v>57.495607488995098</v>
          </cell>
          <cell r="AQ182">
            <v>28.4086830023993</v>
          </cell>
          <cell r="AR182">
            <v>38.400937069014397</v>
          </cell>
          <cell r="AS182">
            <v>16.925809072188301</v>
          </cell>
        </row>
        <row r="183">
          <cell r="C183" t="str">
            <v>Trinidad and Tobago</v>
          </cell>
          <cell r="D183" t="str">
            <v>Trinidad and Tobago Dollar</v>
          </cell>
          <cell r="E183" t="str">
            <v>TTD</v>
          </cell>
          <cell r="F183">
            <v>8.8866663291139236</v>
          </cell>
          <cell r="G183" t="e">
            <v>#N/A</v>
          </cell>
          <cell r="H183" t="e">
            <v>#N/A</v>
          </cell>
          <cell r="I183">
            <v>0.47599999999999998</v>
          </cell>
          <cell r="J183">
            <v>14.59</v>
          </cell>
          <cell r="K183">
            <v>63</v>
          </cell>
          <cell r="L183">
            <v>13.2</v>
          </cell>
          <cell r="M183">
            <v>20.399999999999999</v>
          </cell>
          <cell r="N183">
            <v>671.08500000000004</v>
          </cell>
          <cell r="O183">
            <v>689.00300000000004</v>
          </cell>
          <cell r="P183">
            <v>2.8488194491010801</v>
          </cell>
          <cell r="Q183">
            <v>7.2735942540810798</v>
          </cell>
          <cell r="R183">
            <v>21.355267961584602</v>
          </cell>
          <cell r="S183">
            <v>35.126101760581697</v>
          </cell>
          <cell r="T183">
            <v>8.6839968111342092</v>
          </cell>
          <cell r="U183">
            <v>14.0816737075035</v>
          </cell>
          <cell r="V183">
            <v>78.644732038415398</v>
          </cell>
          <cell r="W183">
            <v>13.770833798997099</v>
          </cell>
          <cell r="X183">
            <v>52.6858743676285</v>
          </cell>
          <cell r="Y183">
            <v>65.673349873711999</v>
          </cell>
          <cell r="Z183">
            <v>70.416862245468195</v>
          </cell>
          <cell r="AA183">
            <v>38.915040568631397</v>
          </cell>
          <cell r="AB183">
            <v>56.646028446471</v>
          </cell>
          <cell r="AC183">
            <v>60.079423619958703</v>
          </cell>
          <cell r="AD183">
            <v>25.958857670786902</v>
          </cell>
          <cell r="AE183">
            <v>8.2278697929472404</v>
          </cell>
          <cell r="AF183">
            <v>2.6819912250019202</v>
          </cell>
          <cell r="AG183">
            <v>6.8636856443295597</v>
          </cell>
          <cell r="AH183">
            <v>20.2195055754474</v>
          </cell>
          <cell r="AI183">
            <v>33.361973750477098</v>
          </cell>
          <cell r="AJ183">
            <v>8.2318944910254395</v>
          </cell>
          <cell r="AK183">
            <v>13.3558199311179</v>
          </cell>
          <cell r="AL183">
            <v>79.7804944245526</v>
          </cell>
          <cell r="AM183">
            <v>13.1424681750297</v>
          </cell>
          <cell r="AN183">
            <v>51.244189067391602</v>
          </cell>
          <cell r="AO183">
            <v>64.344132028452705</v>
          </cell>
          <cell r="AP183">
            <v>69.2155186552163</v>
          </cell>
          <cell r="AQ183">
            <v>38.101720892361897</v>
          </cell>
          <cell r="AR183">
            <v>56.073050480186602</v>
          </cell>
          <cell r="AS183">
            <v>28.536305357161002</v>
          </cell>
        </row>
        <row r="184">
          <cell r="C184" t="str">
            <v>Tunisia</v>
          </cell>
          <cell r="D184" t="str">
            <v>Tunisian Dinar</v>
          </cell>
          <cell r="E184" t="str">
            <v>TND</v>
          </cell>
          <cell r="F184">
            <v>2.745022368421052</v>
          </cell>
          <cell r="G184" t="e">
            <v>#N/A</v>
          </cell>
          <cell r="H184" t="e">
            <v>#N/A</v>
          </cell>
          <cell r="I184">
            <v>1.123</v>
          </cell>
          <cell r="J184">
            <v>19.8</v>
          </cell>
          <cell r="K184">
            <v>62</v>
          </cell>
          <cell r="L184">
            <v>8.1999999999999993</v>
          </cell>
          <cell r="M184">
            <v>14</v>
          </cell>
          <cell r="N184">
            <v>5561.085</v>
          </cell>
          <cell r="O184">
            <v>5692.4690000000001</v>
          </cell>
          <cell r="P184">
            <v>3.77474899232794</v>
          </cell>
          <cell r="Q184">
            <v>9.0335249326345508</v>
          </cell>
          <cell r="R184">
            <v>24.176253375015801</v>
          </cell>
          <cell r="S184">
            <v>40.250328847697901</v>
          </cell>
          <cell r="T184">
            <v>9.3441297876223803</v>
          </cell>
          <cell r="U184">
            <v>15.1427284423813</v>
          </cell>
          <cell r="V184">
            <v>75.823746624984096</v>
          </cell>
          <cell r="W184">
            <v>16.074075472682001</v>
          </cell>
          <cell r="X184">
            <v>53.779037723753497</v>
          </cell>
          <cell r="Y184">
            <v>64.896616397699404</v>
          </cell>
          <cell r="Z184">
            <v>68.937644362565905</v>
          </cell>
          <cell r="AA184">
            <v>37.7049622510715</v>
          </cell>
          <cell r="AB184">
            <v>52.863568889883901</v>
          </cell>
          <cell r="AC184">
            <v>55.257921790441998</v>
          </cell>
          <cell r="AD184">
            <v>22.044708901230599</v>
          </cell>
          <cell r="AE184">
            <v>6.88610226241821</v>
          </cell>
          <cell r="AF184">
            <v>3.5195975595124001</v>
          </cell>
          <cell r="AG184">
            <v>8.4282057574665803</v>
          </cell>
          <cell r="AH184">
            <v>22.5561351322247</v>
          </cell>
          <cell r="AI184">
            <v>37.707680094524903</v>
          </cell>
          <cell r="AJ184">
            <v>8.7242987181836202</v>
          </cell>
          <cell r="AK184">
            <v>14.1279293747581</v>
          </cell>
          <cell r="AL184">
            <v>77.443864867775304</v>
          </cell>
          <cell r="AM184">
            <v>15.1515449623002</v>
          </cell>
          <cell r="AN184">
            <v>54.062499066749403</v>
          </cell>
          <cell r="AO184">
            <v>65.043305462006003</v>
          </cell>
          <cell r="AP184">
            <v>69.162080636714904</v>
          </cell>
          <cell r="AQ184">
            <v>38.910954104449203</v>
          </cell>
          <cell r="AR184">
            <v>54.010535674414697</v>
          </cell>
          <cell r="AS184">
            <v>23.3813658010259</v>
          </cell>
        </row>
        <row r="185">
          <cell r="C185" t="str">
            <v>Turkey</v>
          </cell>
          <cell r="D185" t="str">
            <v>New Turkish Lira</v>
          </cell>
          <cell r="E185" t="str">
            <v>TRY</v>
          </cell>
          <cell r="F185">
            <v>1</v>
          </cell>
          <cell r="G185" t="e">
            <v>#N/A</v>
          </cell>
          <cell r="H185" t="e">
            <v>#N/A</v>
          </cell>
          <cell r="I185">
            <v>1.6850000000000001</v>
          </cell>
          <cell r="J185">
            <v>16.835999999999999</v>
          </cell>
          <cell r="K185">
            <v>16</v>
          </cell>
          <cell r="L185">
            <v>7.1</v>
          </cell>
          <cell r="M185">
            <v>13.5</v>
          </cell>
          <cell r="N185">
            <v>38674.561999999998</v>
          </cell>
          <cell r="O185">
            <v>39991.267999999996</v>
          </cell>
          <cell r="P185">
            <v>3.6685871193576798</v>
          </cell>
          <cell r="Q185">
            <v>9.0270317734949401</v>
          </cell>
          <cell r="R185">
            <v>26.664888926214601</v>
          </cell>
          <cell r="S185">
            <v>43.786797120029398</v>
          </cell>
          <cell r="T185">
            <v>10.562638046165899</v>
          </cell>
          <cell r="U185">
            <v>17.6378571527197</v>
          </cell>
          <cell r="V185">
            <v>73.335111073785399</v>
          </cell>
          <cell r="W185">
            <v>17.1219081938148</v>
          </cell>
          <cell r="X185">
            <v>54.064852757737803</v>
          </cell>
          <cell r="Y185">
            <v>63.469127329742001</v>
          </cell>
          <cell r="Z185">
            <v>66.816578297641797</v>
          </cell>
          <cell r="AA185">
            <v>36.9429445639229</v>
          </cell>
          <cell r="AB185">
            <v>49.694670103826901</v>
          </cell>
          <cell r="AC185">
            <v>52.071123649700297</v>
          </cell>
          <cell r="AD185">
            <v>19.270258316047599</v>
          </cell>
          <cell r="AE185">
            <v>6.51853277614366</v>
          </cell>
          <cell r="AF185">
            <v>3.37253872520371</v>
          </cell>
          <cell r="AG185">
            <v>8.3260775827363105</v>
          </cell>
          <cell r="AH185">
            <v>24.708866445545102</v>
          </cell>
          <cell r="AI185">
            <v>40.784595777258197</v>
          </cell>
          <cell r="AJ185">
            <v>9.8048528993879298</v>
          </cell>
          <cell r="AK185">
            <v>16.382788862808699</v>
          </cell>
          <cell r="AL185">
            <v>75.291133554454902</v>
          </cell>
          <cell r="AM185">
            <v>16.075729331713099</v>
          </cell>
          <cell r="AN185">
            <v>52.535566014060898</v>
          </cell>
          <cell r="AO185">
            <v>62.7571273809072</v>
          </cell>
          <cell r="AP185">
            <v>66.765859987235203</v>
          </cell>
          <cell r="AQ185">
            <v>36.459836682347699</v>
          </cell>
          <cell r="AR185">
            <v>50.690130655522097</v>
          </cell>
          <cell r="AS185">
            <v>22.7555675403941</v>
          </cell>
        </row>
        <row r="186">
          <cell r="C186" t="str">
            <v>Turkmenistan</v>
          </cell>
          <cell r="D186" t="str">
            <v>Manat</v>
          </cell>
          <cell r="E186" t="str">
            <v>TMM</v>
          </cell>
          <cell r="F186">
            <v>1</v>
          </cell>
          <cell r="G186" t="e">
            <v>#N/A</v>
          </cell>
          <cell r="H186" t="e">
            <v>#N/A</v>
          </cell>
          <cell r="I186">
            <v>1.274</v>
          </cell>
          <cell r="J186">
            <v>21.321999999999999</v>
          </cell>
          <cell r="K186">
            <v>42</v>
          </cell>
          <cell r="L186">
            <v>22.6</v>
          </cell>
          <cell r="M186">
            <v>51.4</v>
          </cell>
          <cell r="N186">
            <v>2640.7060000000001</v>
          </cell>
          <cell r="O186">
            <v>2732.7959999999998</v>
          </cell>
          <cell r="P186">
            <v>4.1938405865704098</v>
          </cell>
          <cell r="Q186">
            <v>10.1472485009691</v>
          </cell>
          <cell r="R186">
            <v>29.121492509957601</v>
          </cell>
          <cell r="S186">
            <v>48.651913541303003</v>
          </cell>
          <cell r="T186">
            <v>11.4485292948174</v>
          </cell>
          <cell r="U186">
            <v>18.974244008988499</v>
          </cell>
          <cell r="V186">
            <v>70.878507490042495</v>
          </cell>
          <cell r="W186">
            <v>19.530421031345401</v>
          </cell>
          <cell r="X186">
            <v>56.478381160189699</v>
          </cell>
          <cell r="Y186">
            <v>65.013560767461399</v>
          </cell>
          <cell r="Z186">
            <v>67.4676014671834</v>
          </cell>
          <cell r="AA186">
            <v>36.947960128844301</v>
          </cell>
          <cell r="AB186">
            <v>47.937180435838002</v>
          </cell>
          <cell r="AC186">
            <v>49.344266268187397</v>
          </cell>
          <cell r="AD186">
            <v>14.4001263298527</v>
          </cell>
          <cell r="AE186">
            <v>3.4109060228590402</v>
          </cell>
          <cell r="AF186">
            <v>3.9205634083188099</v>
          </cell>
          <cell r="AG186">
            <v>9.50557597420371</v>
          </cell>
          <cell r="AH186">
            <v>27.356780381704301</v>
          </cell>
          <cell r="AI186">
            <v>45.874628036633503</v>
          </cell>
          <cell r="AJ186">
            <v>10.7695561615283</v>
          </cell>
          <cell r="AK186">
            <v>17.8512044075006</v>
          </cell>
          <cell r="AL186">
            <v>72.643219618295703</v>
          </cell>
          <cell r="AM186">
            <v>18.517847654929199</v>
          </cell>
          <cell r="AN186">
            <v>55.144182002608297</v>
          </cell>
          <cell r="AO186">
            <v>64.818925378989107</v>
          </cell>
          <cell r="AP186">
            <v>67.769054111613201</v>
          </cell>
          <cell r="AQ186">
            <v>36.626334347679098</v>
          </cell>
          <cell r="AR186">
            <v>49.251206456683903</v>
          </cell>
          <cell r="AS186">
            <v>17.499037615687399</v>
          </cell>
        </row>
        <row r="187">
          <cell r="C187" t="str">
            <v>Tuvalu</v>
          </cell>
          <cell r="D187" t="str">
            <v>Australian Dollar</v>
          </cell>
          <cell r="E187" t="str">
            <v>AUD</v>
          </cell>
          <cell r="F187">
            <v>1.8631010330578528</v>
          </cell>
          <cell r="G187" t="e">
            <v>#N/A</v>
          </cell>
          <cell r="H187" t="e">
            <v>#N/A</v>
          </cell>
          <cell r="I187">
            <v>0.18</v>
          </cell>
          <cell r="J187">
            <v>0</v>
          </cell>
          <cell r="K187">
            <v>0</v>
          </cell>
          <cell r="L187">
            <v>17.600000000000001</v>
          </cell>
          <cell r="M187">
            <v>27.1</v>
          </cell>
          <cell r="N187" t="e">
            <v>#N/A</v>
          </cell>
          <cell r="O187" t="e">
            <v>#N/A</v>
          </cell>
          <cell r="P187" t="e">
            <v>#N/A</v>
          </cell>
          <cell r="Q187" t="e">
            <v>#N/A</v>
          </cell>
          <cell r="R187" t="e">
            <v>#N/A</v>
          </cell>
          <cell r="S187" t="e">
            <v>#N/A</v>
          </cell>
          <cell r="T187" t="e">
            <v>#N/A</v>
          </cell>
          <cell r="U187" t="e">
            <v>#N/A</v>
          </cell>
          <cell r="V187" t="e">
            <v>#N/A</v>
          </cell>
          <cell r="W187" t="e">
            <v>#N/A</v>
          </cell>
          <cell r="X187" t="e">
            <v>#N/A</v>
          </cell>
          <cell r="Y187" t="e">
            <v>#N/A</v>
          </cell>
          <cell r="Z187" t="e">
            <v>#N/A</v>
          </cell>
          <cell r="AA187" t="e">
            <v>#N/A</v>
          </cell>
          <cell r="AB187" t="e">
            <v>#N/A</v>
          </cell>
          <cell r="AC187" t="e">
            <v>#N/A</v>
          </cell>
          <cell r="AD187" t="e">
            <v>#N/A</v>
          </cell>
          <cell r="AE187" t="e">
            <v>#N/A</v>
          </cell>
          <cell r="AF187" t="e">
            <v>#N/A</v>
          </cell>
          <cell r="AG187" t="e">
            <v>#N/A</v>
          </cell>
          <cell r="AH187" t="e">
            <v>#N/A</v>
          </cell>
          <cell r="AI187" t="e">
            <v>#N/A</v>
          </cell>
          <cell r="AJ187" t="e">
            <v>#N/A</v>
          </cell>
          <cell r="AK187" t="e">
            <v>#N/A</v>
          </cell>
          <cell r="AL187" t="e">
            <v>#N/A</v>
          </cell>
          <cell r="AM187" t="e">
            <v>#N/A</v>
          </cell>
          <cell r="AN187" t="e">
            <v>#N/A</v>
          </cell>
          <cell r="AO187" t="e">
            <v>#N/A</v>
          </cell>
          <cell r="AP187" t="e">
            <v>#N/A</v>
          </cell>
          <cell r="AQ187" t="e">
            <v>#N/A</v>
          </cell>
          <cell r="AR187" t="e">
            <v>#N/A</v>
          </cell>
          <cell r="AS187" t="e">
            <v>#N/A</v>
          </cell>
        </row>
        <row r="188">
          <cell r="C188" t="str">
            <v>Uganda</v>
          </cell>
          <cell r="D188" t="str">
            <v>Uganda Shilling</v>
          </cell>
          <cell r="E188" t="str">
            <v>UGX</v>
          </cell>
          <cell r="F188">
            <v>1</v>
          </cell>
          <cell r="G188" t="e">
            <v>#N/A</v>
          </cell>
          <cell r="H188" t="e">
            <v>#N/A</v>
          </cell>
          <cell r="I188">
            <v>3.2669999999999999</v>
          </cell>
          <cell r="J188">
            <v>43.473999999999997</v>
          </cell>
          <cell r="K188">
            <v>343</v>
          </cell>
          <cell r="L188">
            <v>18.7</v>
          </cell>
          <cell r="M188">
            <v>54.6</v>
          </cell>
          <cell r="N188">
            <v>19507.178</v>
          </cell>
          <cell r="O188">
            <v>19525.205000000002</v>
          </cell>
          <cell r="P188">
            <v>7.8850564648561603</v>
          </cell>
          <cell r="Q188">
            <v>18.8361176588433</v>
          </cell>
          <cell r="R188">
            <v>48.503438067771803</v>
          </cell>
          <cell r="S188">
            <v>68.851527371104098</v>
          </cell>
          <cell r="T188">
            <v>19.002215492164002</v>
          </cell>
          <cell r="U188">
            <v>29.667320408928401</v>
          </cell>
          <cell r="V188">
            <v>51.496561932228197</v>
          </cell>
          <cell r="W188">
            <v>20.348089303332301</v>
          </cell>
          <cell r="X188">
            <v>44.929328065802203</v>
          </cell>
          <cell r="Y188">
            <v>48.173005854562803</v>
          </cell>
          <cell r="Z188">
            <v>49.298273691868701</v>
          </cell>
          <cell r="AA188">
            <v>24.581238762469901</v>
          </cell>
          <cell r="AB188">
            <v>28.9501843885363</v>
          </cell>
          <cell r="AC188">
            <v>29.834802348140801</v>
          </cell>
          <cell r="AD188">
            <v>6.5672338664259904</v>
          </cell>
          <cell r="AE188">
            <v>2.1982882403595201</v>
          </cell>
          <cell r="AF188">
            <v>7.7188843855928804</v>
          </cell>
          <cell r="AG188">
            <v>18.455760131583801</v>
          </cell>
          <cell r="AH188">
            <v>47.678254850589298</v>
          </cell>
          <cell r="AI188">
            <v>67.922590313392405</v>
          </cell>
          <cell r="AJ188">
            <v>18.688746161691999</v>
          </cell>
          <cell r="AK188">
            <v>29.2224947190055</v>
          </cell>
          <cell r="AL188">
            <v>52.321745149410802</v>
          </cell>
          <cell r="AM188">
            <v>20.2443354628031</v>
          </cell>
          <cell r="AN188">
            <v>44.550876674534301</v>
          </cell>
          <cell r="AO188">
            <v>48.093185193190003</v>
          </cell>
          <cell r="AP188">
            <v>49.542522088756598</v>
          </cell>
          <cell r="AQ188">
            <v>24.306541211731201</v>
          </cell>
          <cell r="AR188">
            <v>29.298186625953502</v>
          </cell>
          <cell r="AS188">
            <v>7.7708684748764503</v>
          </cell>
        </row>
        <row r="189">
          <cell r="C189" t="str">
            <v>Ukraine</v>
          </cell>
          <cell r="D189" t="str">
            <v>Hryvnia</v>
          </cell>
          <cell r="E189" t="str">
            <v>UAH</v>
          </cell>
          <cell r="F189">
            <v>1</v>
          </cell>
          <cell r="G189" t="e">
            <v>#N/A</v>
          </cell>
          <cell r="H189" t="e">
            <v>#N/A</v>
          </cell>
          <cell r="I189">
            <v>-0.36399999999999999</v>
          </cell>
          <cell r="J189">
            <v>11.1</v>
          </cell>
          <cell r="K189">
            <v>24</v>
          </cell>
          <cell r="L189">
            <v>5.5</v>
          </cell>
          <cell r="M189">
            <v>9</v>
          </cell>
          <cell r="N189">
            <v>20759.396000000001</v>
          </cell>
          <cell r="O189">
            <v>24064.368999999999</v>
          </cell>
          <cell r="P189">
            <v>2.2543574967210001</v>
          </cell>
          <cell r="Q189">
            <v>6.1108569825441901</v>
          </cell>
          <cell r="R189">
            <v>16.599167914133901</v>
          </cell>
          <cell r="S189">
            <v>28.663324308664901</v>
          </cell>
          <cell r="T189">
            <v>6.9278075335139802</v>
          </cell>
          <cell r="U189">
            <v>10.4883109315897</v>
          </cell>
          <cell r="V189">
            <v>83.400832085866099</v>
          </cell>
          <cell r="W189">
            <v>12.064156394530899</v>
          </cell>
          <cell r="X189">
            <v>51.692698573696497</v>
          </cell>
          <cell r="Y189">
            <v>65.852296473365598</v>
          </cell>
          <cell r="Z189">
            <v>72.332186350701207</v>
          </cell>
          <cell r="AA189">
            <v>39.6285421791655</v>
          </cell>
          <cell r="AB189">
            <v>60.268029956170203</v>
          </cell>
          <cell r="AC189">
            <v>63.713245799636901</v>
          </cell>
          <cell r="AD189">
            <v>31.708133512169599</v>
          </cell>
          <cell r="AE189">
            <v>11.0686457351649</v>
          </cell>
          <cell r="AF189">
            <v>1.82028874307903</v>
          </cell>
          <cell r="AG189">
            <v>4.9546530806604601</v>
          </cell>
          <cell r="AH189">
            <v>13.485635131342899</v>
          </cell>
          <cell r="AI189">
            <v>23.391666741812301</v>
          </cell>
          <cell r="AJ189">
            <v>5.6369772255403801</v>
          </cell>
          <cell r="AK189">
            <v>8.5309820506824803</v>
          </cell>
          <cell r="AL189">
            <v>86.514364868657097</v>
          </cell>
          <cell r="AM189">
            <v>9.9060316104694</v>
          </cell>
          <cell r="AN189">
            <v>44.748673858849102</v>
          </cell>
          <cell r="AO189">
            <v>59.607600764433101</v>
          </cell>
          <cell r="AP189">
            <v>67.552608589072094</v>
          </cell>
          <cell r="AQ189">
            <v>34.842642248379804</v>
          </cell>
          <cell r="AR189">
            <v>57.646576978602702</v>
          </cell>
          <cell r="AS189">
            <v>41.765691009807902</v>
          </cell>
        </row>
        <row r="190">
          <cell r="C190" t="str">
            <v>United Arab Emirates</v>
          </cell>
          <cell r="D190" t="str">
            <v>United Arab Emirates dirham</v>
          </cell>
          <cell r="E190" t="str">
            <v>AED</v>
          </cell>
          <cell r="F190">
            <v>5.1371319354838691</v>
          </cell>
          <cell r="G190" t="e">
            <v>#N/A</v>
          </cell>
          <cell r="H190" t="e">
            <v>#N/A</v>
          </cell>
          <cell r="I190">
            <v>1.8939999999999999</v>
          </cell>
          <cell r="J190">
            <v>11.044</v>
          </cell>
          <cell r="K190">
            <v>6</v>
          </cell>
          <cell r="L190">
            <v>3.5</v>
          </cell>
          <cell r="M190">
            <v>6.8</v>
          </cell>
          <cell r="N190">
            <v>6708.2560000000003</v>
          </cell>
          <cell r="O190">
            <v>2448.7069999999999</v>
          </cell>
          <cell r="P190">
            <v>1.4672218830050601</v>
          </cell>
          <cell r="Q190">
            <v>3.7393623618418901</v>
          </cell>
          <cell r="R190">
            <v>9.7241816651004402</v>
          </cell>
          <cell r="S190">
            <v>21.006950241612699</v>
          </cell>
          <cell r="T190">
            <v>3.8393883596571201</v>
          </cell>
          <cell r="U190">
            <v>5.9848193032585497</v>
          </cell>
          <cell r="V190">
            <v>90.275818334899597</v>
          </cell>
          <cell r="W190">
            <v>11.2827685765123</v>
          </cell>
          <cell r="X190">
            <v>78.919215366855397</v>
          </cell>
          <cell r="Y190">
            <v>87.777523696173802</v>
          </cell>
          <cell r="Z190">
            <v>89.123626170498</v>
          </cell>
          <cell r="AA190">
            <v>67.636446790343101</v>
          </cell>
          <cell r="AB190">
            <v>77.840857593985703</v>
          </cell>
          <cell r="AC190">
            <v>78.530425791740797</v>
          </cell>
          <cell r="AD190">
            <v>11.3566029680442</v>
          </cell>
          <cell r="AE190">
            <v>1.1521921644016</v>
          </cell>
          <cell r="AF190">
            <v>3.9535967349299002</v>
          </cell>
          <cell r="AG190">
            <v>9.8214282068046508</v>
          </cell>
          <cell r="AH190">
            <v>25.479814449013301</v>
          </cell>
          <cell r="AI190">
            <v>42.065302218681097</v>
          </cell>
          <cell r="AJ190">
            <v>10.1527867564392</v>
          </cell>
          <cell r="AK190">
            <v>15.6583862422086</v>
          </cell>
          <cell r="AL190">
            <v>74.520185550986696</v>
          </cell>
          <cell r="AM190">
            <v>16.5854877696678</v>
          </cell>
          <cell r="AN190">
            <v>67.346807927612403</v>
          </cell>
          <cell r="AO190">
            <v>72.577568488185804</v>
          </cell>
          <cell r="AP190">
            <v>73.421524094144402</v>
          </cell>
          <cell r="AQ190">
            <v>50.761320157944603</v>
          </cell>
          <cell r="AR190">
            <v>56.836036324476602</v>
          </cell>
          <cell r="AS190">
            <v>7.1733776233743001</v>
          </cell>
        </row>
        <row r="191">
          <cell r="C191" t="str">
            <v>United Kingdom</v>
          </cell>
          <cell r="D191" t="str">
            <v>Pound Sterling</v>
          </cell>
          <cell r="E191" t="str">
            <v>GBP</v>
          </cell>
          <cell r="F191">
            <v>0.91509106122449013</v>
          </cell>
          <cell r="G191" t="e">
            <v>#N/A</v>
          </cell>
          <cell r="H191" t="e">
            <v>#N/A</v>
          </cell>
          <cell r="I191">
            <v>0.628</v>
          </cell>
          <cell r="J191">
            <v>12.2</v>
          </cell>
          <cell r="K191">
            <v>9</v>
          </cell>
          <cell r="L191">
            <v>2.4</v>
          </cell>
          <cell r="M191">
            <v>4.2</v>
          </cell>
          <cell r="N191">
            <v>31898.594000000001</v>
          </cell>
          <cell r="O191">
            <v>32817.216</v>
          </cell>
          <cell r="P191">
            <v>2.4973201013185702</v>
          </cell>
          <cell r="Q191">
            <v>6.5137071558702599</v>
          </cell>
          <cell r="R191">
            <v>18.453029622559502</v>
          </cell>
          <cell r="S191">
            <v>31.237110325301501</v>
          </cell>
          <cell r="T191">
            <v>7.5329871905952999</v>
          </cell>
          <cell r="U191">
            <v>11.939322466689299</v>
          </cell>
          <cell r="V191">
            <v>81.546970377440502</v>
          </cell>
          <cell r="W191">
            <v>12.7840807027419</v>
          </cell>
          <cell r="X191">
            <v>46.846371974890197</v>
          </cell>
          <cell r="Y191">
            <v>60.045702954807297</v>
          </cell>
          <cell r="Z191">
            <v>65.263183700196905</v>
          </cell>
          <cell r="AA191">
            <v>34.062291272148201</v>
          </cell>
          <cell r="AB191">
            <v>52.479102997455001</v>
          </cell>
          <cell r="AC191">
            <v>58.045815436254003</v>
          </cell>
          <cell r="AD191">
            <v>34.700598402550298</v>
          </cell>
          <cell r="AE191">
            <v>16.283786677243501</v>
          </cell>
          <cell r="AF191">
            <v>2.3084194588596398</v>
          </cell>
          <cell r="AG191">
            <v>6.0327024693380498</v>
          </cell>
          <cell r="AH191">
            <v>17.114413361572201</v>
          </cell>
          <cell r="AI191">
            <v>29.093293593216401</v>
          </cell>
          <cell r="AJ191">
            <v>6.9947310582347999</v>
          </cell>
          <cell r="AK191">
            <v>11.081710892234099</v>
          </cell>
          <cell r="AL191">
            <v>82.885586638427796</v>
          </cell>
          <cell r="AM191">
            <v>11.9788802316443</v>
          </cell>
          <cell r="AN191">
            <v>45.215995774900598</v>
          </cell>
          <cell r="AO191">
            <v>58.4159546013897</v>
          </cell>
          <cell r="AP191">
            <v>63.6899668759227</v>
          </cell>
          <cell r="AQ191">
            <v>33.237115543256301</v>
          </cell>
          <cell r="AR191">
            <v>51.711086644278403</v>
          </cell>
          <cell r="AS191">
            <v>37.669590863527198</v>
          </cell>
        </row>
        <row r="192">
          <cell r="C192" t="str">
            <v>United Republic of Tanzania</v>
          </cell>
          <cell r="D192" t="str">
            <v>Tanzanian Schilling</v>
          </cell>
          <cell r="E192" t="str">
            <v>TZS</v>
          </cell>
          <cell r="F192">
            <v>1</v>
          </cell>
          <cell r="G192" t="e">
            <v>#N/A</v>
          </cell>
          <cell r="H192" t="e">
            <v>#N/A</v>
          </cell>
          <cell r="I192">
            <v>3.1629999999999998</v>
          </cell>
          <cell r="J192">
            <v>39.518000000000001</v>
          </cell>
          <cell r="K192">
            <v>398</v>
          </cell>
          <cell r="L192">
            <v>18.8</v>
          </cell>
          <cell r="M192">
            <v>48.7</v>
          </cell>
          <cell r="N192">
            <v>26574.231</v>
          </cell>
          <cell r="O192">
            <v>26896.188999999998</v>
          </cell>
          <cell r="P192">
            <v>7.4645019831429904</v>
          </cell>
          <cell r="Q192">
            <v>17.886259813125001</v>
          </cell>
          <cell r="R192">
            <v>45.710451602531798</v>
          </cell>
          <cell r="S192">
            <v>64.892884388639501</v>
          </cell>
          <cell r="T192">
            <v>17.9316120191775</v>
          </cell>
          <cell r="U192">
            <v>27.8241917894068</v>
          </cell>
          <cell r="V192">
            <v>54.289548397468202</v>
          </cell>
          <cell r="W192">
            <v>19.1824327861077</v>
          </cell>
          <cell r="X192">
            <v>45.301066284853199</v>
          </cell>
          <cell r="Y192">
            <v>49.813550578377999</v>
          </cell>
          <cell r="Z192">
            <v>51.296430741495399</v>
          </cell>
          <cell r="AA192">
            <v>26.118633498745499</v>
          </cell>
          <cell r="AB192">
            <v>32.113997955387703</v>
          </cell>
          <cell r="AC192">
            <v>33.311842589160896</v>
          </cell>
          <cell r="AD192">
            <v>8.9884821126150296</v>
          </cell>
          <cell r="AE192">
            <v>2.9931176559728101</v>
          </cell>
          <cell r="AF192">
            <v>7.2513693296845902</v>
          </cell>
          <cell r="AG192">
            <v>17.271272149373999</v>
          </cell>
          <cell r="AH192">
            <v>44.6930604183366</v>
          </cell>
          <cell r="AI192">
            <v>63.880001735561898</v>
          </cell>
          <cell r="AJ192">
            <v>17.488462770692198</v>
          </cell>
          <cell r="AK192">
            <v>27.421788268962601</v>
          </cell>
          <cell r="AL192">
            <v>55.3069395816634</v>
          </cell>
          <cell r="AM192">
            <v>19.186941317225301</v>
          </cell>
          <cell r="AN192">
            <v>45.753935622626699</v>
          </cell>
          <cell r="AO192">
            <v>50.242865262435501</v>
          </cell>
          <cell r="AP192">
            <v>51.898620284085602</v>
          </cell>
          <cell r="AQ192">
            <v>26.566994305401401</v>
          </cell>
          <cell r="AR192">
            <v>32.711678966860298</v>
          </cell>
          <cell r="AS192">
            <v>9.5530039590367295</v>
          </cell>
        </row>
        <row r="193">
          <cell r="C193" t="str">
            <v>United States</v>
          </cell>
          <cell r="D193" t="str">
            <v>US Dollar</v>
          </cell>
          <cell r="E193" t="str">
            <v>USD</v>
          </cell>
          <cell r="F193">
            <v>1.3988592400000002</v>
          </cell>
          <cell r="G193" t="e">
            <v>#N/A</v>
          </cell>
          <cell r="H193" t="e">
            <v>#N/A</v>
          </cell>
          <cell r="I193">
            <v>0.754</v>
          </cell>
          <cell r="J193">
            <v>12.5</v>
          </cell>
          <cell r="K193">
            <v>14</v>
          </cell>
          <cell r="L193">
            <v>3.6</v>
          </cell>
          <cell r="M193">
            <v>6.5</v>
          </cell>
          <cell r="N193">
            <v>159493.772</v>
          </cell>
          <cell r="O193">
            <v>162279.859</v>
          </cell>
          <cell r="P193">
            <v>2.4589173300133602</v>
          </cell>
          <cell r="Q193">
            <v>6.3142559572796397</v>
          </cell>
          <cell r="R193">
            <v>19.523088337267499</v>
          </cell>
          <cell r="S193">
            <v>33.726462372461803</v>
          </cell>
          <cell r="T193">
            <v>7.9262674908710498</v>
          </cell>
          <cell r="U193">
            <v>13.2088323799879</v>
          </cell>
          <cell r="V193">
            <v>80.476911662732505</v>
          </cell>
          <cell r="W193">
            <v>14.203374035194299</v>
          </cell>
          <cell r="X193">
            <v>47.514822083460402</v>
          </cell>
          <cell r="Y193">
            <v>61.486940693834697</v>
          </cell>
          <cell r="Z193">
            <v>67.227245713393799</v>
          </cell>
          <cell r="AA193">
            <v>33.311448048266101</v>
          </cell>
          <cell r="AB193">
            <v>53.023871678199498</v>
          </cell>
          <cell r="AC193">
            <v>57.805585662617602</v>
          </cell>
          <cell r="AD193">
            <v>32.962089579272103</v>
          </cell>
          <cell r="AE193">
            <v>13.2496659493388</v>
          </cell>
          <cell r="AF193">
            <v>2.3086715893683398</v>
          </cell>
          <cell r="AG193">
            <v>5.9344573376786096</v>
          </cell>
          <cell r="AH193">
            <v>18.387435867811501</v>
          </cell>
          <cell r="AI193">
            <v>31.5478028607358</v>
          </cell>
          <cell r="AJ193">
            <v>7.4769340291329698</v>
          </cell>
          <cell r="AK193">
            <v>12.452978530132899</v>
          </cell>
          <cell r="AL193">
            <v>81.612564132188496</v>
          </cell>
          <cell r="AM193">
            <v>13.1603669929242</v>
          </cell>
          <cell r="AN193">
            <v>45.226666113876803</v>
          </cell>
          <cell r="AO193">
            <v>59.270394115883498</v>
          </cell>
          <cell r="AP193">
            <v>65.316469125105698</v>
          </cell>
          <cell r="AQ193">
            <v>32.0662991209525</v>
          </cell>
          <cell r="AR193">
            <v>52.156102132181402</v>
          </cell>
          <cell r="AS193">
            <v>36.3858980183117</v>
          </cell>
        </row>
        <row r="194">
          <cell r="C194" t="str">
            <v>Uruguay</v>
          </cell>
          <cell r="D194" t="str">
            <v>Peso Uruguayo</v>
          </cell>
          <cell r="E194" t="str">
            <v>UYU</v>
          </cell>
          <cell r="F194">
            <v>38.089607589285727</v>
          </cell>
          <cell r="G194" t="e">
            <v>#N/A</v>
          </cell>
          <cell r="H194" t="e">
            <v>#N/A</v>
          </cell>
          <cell r="I194">
            <v>0.33600000000000002</v>
          </cell>
          <cell r="J194">
            <v>14.374000000000001</v>
          </cell>
          <cell r="K194">
            <v>15</v>
          </cell>
          <cell r="L194">
            <v>5.0999999999999996</v>
          </cell>
          <cell r="M194">
            <v>10.1</v>
          </cell>
          <cell r="N194">
            <v>1656.3989999999999</v>
          </cell>
          <cell r="O194">
            <v>1775.1559999999999</v>
          </cell>
          <cell r="P194">
            <v>2.9481423256111601</v>
          </cell>
          <cell r="Q194">
            <v>7.4199513523009903</v>
          </cell>
          <cell r="R194">
            <v>22.664345969781401</v>
          </cell>
          <cell r="S194">
            <v>38.6364034269521</v>
          </cell>
          <cell r="T194">
            <v>9.0781267073935705</v>
          </cell>
          <cell r="U194">
            <v>15.244394617480401</v>
          </cell>
          <cell r="V194">
            <v>77.335654030218606</v>
          </cell>
          <cell r="W194">
            <v>15.9720574571706</v>
          </cell>
          <cell r="X194">
            <v>49.9457558233252</v>
          </cell>
          <cell r="Y194">
            <v>61.175719135305002</v>
          </cell>
          <cell r="Z194">
            <v>65.757223953890303</v>
          </cell>
          <cell r="AA194">
            <v>33.973698366154501</v>
          </cell>
          <cell r="AB194">
            <v>49.785166496719697</v>
          </cell>
          <cell r="AC194">
            <v>53.586605642722503</v>
          </cell>
          <cell r="AD194">
            <v>27.389898206893399</v>
          </cell>
          <cell r="AE194">
            <v>11.5784300763282</v>
          </cell>
          <cell r="AF194">
            <v>2.6461336355790701</v>
          </cell>
          <cell r="AG194">
            <v>6.6392474802214601</v>
          </cell>
          <cell r="AH194">
            <v>20.249206266942199</v>
          </cell>
          <cell r="AI194">
            <v>34.617915270545197</v>
          </cell>
          <cell r="AJ194">
            <v>8.0920212082769094</v>
          </cell>
          <cell r="AK194">
            <v>13.6099587867207</v>
          </cell>
          <cell r="AL194">
            <v>79.750793733057805</v>
          </cell>
          <cell r="AM194">
            <v>14.368709003603101</v>
          </cell>
          <cell r="AN194">
            <v>46.374628483355799</v>
          </cell>
          <cell r="AO194">
            <v>57.829227403112803</v>
          </cell>
          <cell r="AP194">
            <v>62.651282478835697</v>
          </cell>
          <cell r="AQ194">
            <v>32.005919479752798</v>
          </cell>
          <cell r="AR194">
            <v>48.282573475232603</v>
          </cell>
          <cell r="AS194">
            <v>33.376165249701998</v>
          </cell>
        </row>
        <row r="195">
          <cell r="C195" t="str">
            <v>Uzbekistan</v>
          </cell>
          <cell r="D195" t="str">
            <v>Uzbekistan Som</v>
          </cell>
          <cell r="E195" t="str">
            <v>UZS</v>
          </cell>
          <cell r="F195">
            <v>1</v>
          </cell>
          <cell r="G195" t="e">
            <v>#N/A</v>
          </cell>
          <cell r="H195" t="e">
            <v>#N/A</v>
          </cell>
          <cell r="I195">
            <v>1.4950000000000001</v>
          </cell>
          <cell r="J195">
            <v>22.5</v>
          </cell>
          <cell r="K195">
            <v>36</v>
          </cell>
          <cell r="L195">
            <v>20.399999999999999</v>
          </cell>
          <cell r="M195">
            <v>39.1</v>
          </cell>
          <cell r="N195">
            <v>14699.448</v>
          </cell>
          <cell r="O195">
            <v>15194.04</v>
          </cell>
          <cell r="P195">
            <v>4.52321066750262</v>
          </cell>
          <cell r="Q195">
            <v>11.1091722627952</v>
          </cell>
          <cell r="R195">
            <v>29.6165270967998</v>
          </cell>
          <cell r="S195">
            <v>49.120103013392097</v>
          </cell>
          <cell r="T195">
            <v>11.6504374858158</v>
          </cell>
          <cell r="U195">
            <v>18.507354834004701</v>
          </cell>
          <cell r="V195">
            <v>70.3834729032002</v>
          </cell>
          <cell r="W195">
            <v>19.503575916592201</v>
          </cell>
          <cell r="X195">
            <v>55.270299945957198</v>
          </cell>
          <cell r="Y195">
            <v>63.940958871380801</v>
          </cell>
          <cell r="Z195">
            <v>66.487231357259105</v>
          </cell>
          <cell r="AA195">
            <v>35.766724029364902</v>
          </cell>
          <cell r="AB195">
            <v>46.983655440666901</v>
          </cell>
          <cell r="AC195">
            <v>48.408851815387898</v>
          </cell>
          <cell r="AD195">
            <v>15.113172957243</v>
          </cell>
          <cell r="AE195">
            <v>3.89624154594105</v>
          </cell>
          <cell r="AF195">
            <v>4.1842196018965296</v>
          </cell>
          <cell r="AG195">
            <v>10.2800045280913</v>
          </cell>
          <cell r="AH195">
            <v>27.4590036619622</v>
          </cell>
          <cell r="AI195">
            <v>45.648649075558602</v>
          </cell>
          <cell r="AJ195">
            <v>10.803545337513899</v>
          </cell>
          <cell r="AK195">
            <v>17.178999133870899</v>
          </cell>
          <cell r="AL195">
            <v>72.5409963380378</v>
          </cell>
          <cell r="AM195">
            <v>18.189645413596399</v>
          </cell>
          <cell r="AN195">
            <v>54.614322458016403</v>
          </cell>
          <cell r="AO195">
            <v>64.178039547085604</v>
          </cell>
          <cell r="AP195">
            <v>67.146552200731406</v>
          </cell>
          <cell r="AQ195">
            <v>36.4246770444201</v>
          </cell>
          <cell r="AR195">
            <v>48.956906787134997</v>
          </cell>
          <cell r="AS195">
            <v>17.926673880021401</v>
          </cell>
        </row>
        <row r="196">
          <cell r="C196" t="str">
            <v>Vanuatu</v>
          </cell>
          <cell r="D196" t="str">
            <v>Vatu</v>
          </cell>
          <cell r="E196" t="str">
            <v>VUV</v>
          </cell>
          <cell r="F196">
            <v>1</v>
          </cell>
          <cell r="G196" t="e">
            <v>#N/A</v>
          </cell>
          <cell r="H196" t="e">
            <v>#N/A</v>
          </cell>
          <cell r="I196">
            <v>2.266</v>
          </cell>
          <cell r="J196">
            <v>26.739000000000001</v>
          </cell>
          <cell r="K196">
            <v>78</v>
          </cell>
          <cell r="L196">
            <v>11.6</v>
          </cell>
          <cell r="M196">
            <v>27.5</v>
          </cell>
          <cell r="N196">
            <v>134.05500000000001</v>
          </cell>
          <cell r="O196">
            <v>130.59700000000001</v>
          </cell>
          <cell r="P196">
            <v>5.2374025586512998</v>
          </cell>
          <cell r="Q196">
            <v>13.413151318488699</v>
          </cell>
          <cell r="R196">
            <v>37.5786057961285</v>
          </cell>
          <cell r="S196">
            <v>55.668941852224798</v>
          </cell>
          <cell r="T196">
            <v>15.380254373205</v>
          </cell>
          <cell r="U196">
            <v>24.165454477639798</v>
          </cell>
          <cell r="V196">
            <v>62.4213942038715</v>
          </cell>
          <cell r="W196">
            <v>18.090336056096401</v>
          </cell>
          <cell r="X196">
            <v>49.5759203312073</v>
          </cell>
          <cell r="Y196">
            <v>56.106075864384003</v>
          </cell>
          <cell r="Z196">
            <v>58.318600574391098</v>
          </cell>
          <cell r="AA196">
            <v>31.485584275111002</v>
          </cell>
          <cell r="AB196">
            <v>40.228264518294701</v>
          </cell>
          <cell r="AC196">
            <v>41.829099996270202</v>
          </cell>
          <cell r="AD196">
            <v>12.845473872664201</v>
          </cell>
          <cell r="AE196">
            <v>4.1027936294804404</v>
          </cell>
          <cell r="AF196">
            <v>5.0116005727543502</v>
          </cell>
          <cell r="AG196">
            <v>12.8540471833197</v>
          </cell>
          <cell r="AH196">
            <v>35.4556383377872</v>
          </cell>
          <cell r="AI196">
            <v>54.018851887868799</v>
          </cell>
          <cell r="AJ196">
            <v>14.5018645144988</v>
          </cell>
          <cell r="AK196">
            <v>22.601591154467599</v>
          </cell>
          <cell r="AL196">
            <v>64.544361662212793</v>
          </cell>
          <cell r="AM196">
            <v>18.5632135500815</v>
          </cell>
          <cell r="AN196">
            <v>50.910817246950501</v>
          </cell>
          <cell r="AO196">
            <v>57.913275190088598</v>
          </cell>
          <cell r="AP196">
            <v>60.2464068853036</v>
          </cell>
          <cell r="AQ196">
            <v>32.347603696869001</v>
          </cell>
          <cell r="AR196">
            <v>41.6831933352221</v>
          </cell>
          <cell r="AS196">
            <v>13.6335444152622</v>
          </cell>
        </row>
        <row r="197">
          <cell r="C197" t="str">
            <v>Venezuela (Bolivarian Republic of)</v>
          </cell>
          <cell r="D197" t="str">
            <v>Venezuelan bolívar</v>
          </cell>
          <cell r="E197" t="str">
            <v>VEB</v>
          </cell>
          <cell r="F197">
            <v>1</v>
          </cell>
          <cell r="G197" t="e">
            <v>#N/A</v>
          </cell>
          <cell r="H197" t="e">
            <v>#N/A</v>
          </cell>
          <cell r="I197">
            <v>1.4059999999999999</v>
          </cell>
          <cell r="J197">
            <v>19.841999999999999</v>
          </cell>
          <cell r="K197">
            <v>95</v>
          </cell>
          <cell r="L197">
            <v>8.9</v>
          </cell>
          <cell r="M197">
            <v>14.9</v>
          </cell>
          <cell r="N197">
            <v>15487.200999999999</v>
          </cell>
          <cell r="O197">
            <v>15620.882</v>
          </cell>
          <cell r="P197">
            <v>3.9188553180138901</v>
          </cell>
          <cell r="Q197">
            <v>9.7694541447483001</v>
          </cell>
          <cell r="R197">
            <v>28.8283402533486</v>
          </cell>
          <cell r="S197">
            <v>46.890810030811899</v>
          </cell>
          <cell r="T197">
            <v>11.539386619958</v>
          </cell>
          <cell r="U197">
            <v>19.058886108600301</v>
          </cell>
          <cell r="V197">
            <v>71.1716597466514</v>
          </cell>
          <cell r="W197">
            <v>18.062469777463299</v>
          </cell>
          <cell r="X197">
            <v>53.173455939520601</v>
          </cell>
          <cell r="Y197">
            <v>62.569330636310603</v>
          </cell>
          <cell r="Z197">
            <v>65.599594142285596</v>
          </cell>
          <cell r="AA197">
            <v>35.110986162057301</v>
          </cell>
          <cell r="AB197">
            <v>47.537124364822297</v>
          </cell>
          <cell r="AC197">
            <v>49.757073599031898</v>
          </cell>
          <cell r="AD197">
            <v>17.9982038071308</v>
          </cell>
          <cell r="AE197">
            <v>5.5720656043658296</v>
          </cell>
          <cell r="AF197">
            <v>3.7101234104450702</v>
          </cell>
          <cell r="AG197">
            <v>9.2627996293679207</v>
          </cell>
          <cell r="AH197">
            <v>27.388671139056001</v>
          </cell>
          <cell r="AI197">
            <v>44.783610810196201</v>
          </cell>
          <cell r="AJ197">
            <v>10.9694638241298</v>
          </cell>
          <cell r="AK197">
            <v>18.1258715096881</v>
          </cell>
          <cell r="AL197">
            <v>72.611328860943999</v>
          </cell>
          <cell r="AM197">
            <v>17.3949396711402</v>
          </cell>
          <cell r="AN197">
            <v>52.649331836704199</v>
          </cell>
          <cell r="AO197">
            <v>62.417851949717097</v>
          </cell>
          <cell r="AP197">
            <v>65.655351599224701</v>
          </cell>
          <cell r="AQ197">
            <v>35.254392165563999</v>
          </cell>
          <cell r="AR197">
            <v>48.260411928084501</v>
          </cell>
          <cell r="AS197">
            <v>19.9619970242397</v>
          </cell>
        </row>
        <row r="198">
          <cell r="C198" t="str">
            <v>Viet Nam</v>
          </cell>
          <cell r="D198" t="str">
            <v>Vietnamese đồng</v>
          </cell>
          <cell r="E198" t="str">
            <v>VND</v>
          </cell>
          <cell r="F198">
            <v>1</v>
          </cell>
          <cell r="G198" t="e">
            <v>#N/A</v>
          </cell>
          <cell r="H198" t="e">
            <v>#N/A</v>
          </cell>
          <cell r="I198">
            <v>1.1200000000000001</v>
          </cell>
          <cell r="J198">
            <v>15.537000000000001</v>
          </cell>
          <cell r="K198">
            <v>54</v>
          </cell>
          <cell r="L198">
            <v>11.4</v>
          </cell>
          <cell r="M198">
            <v>21.7</v>
          </cell>
          <cell r="N198">
            <v>46224.468999999997</v>
          </cell>
          <cell r="O198">
            <v>47223.131999999998</v>
          </cell>
          <cell r="P198">
            <v>3.5447264953979198</v>
          </cell>
          <cell r="Q198">
            <v>8.8233874574091899</v>
          </cell>
          <cell r="R198">
            <v>24.359085660886699</v>
          </cell>
          <cell r="S198">
            <v>41.8229704271995</v>
          </cell>
          <cell r="T198">
            <v>9.6832826787042201</v>
          </cell>
          <cell r="U198">
            <v>15.5356982034775</v>
          </cell>
          <cell r="V198">
            <v>75.640914339113294</v>
          </cell>
          <cell r="W198">
            <v>17.463884766312798</v>
          </cell>
          <cell r="X198">
            <v>56.822643003211098</v>
          </cell>
          <cell r="Y198">
            <v>67.331927598778904</v>
          </cell>
          <cell r="Z198">
            <v>70.596354497874302</v>
          </cell>
          <cell r="AA198">
            <v>39.358758236898296</v>
          </cell>
          <cell r="AB198">
            <v>53.1324697315614</v>
          </cell>
          <cell r="AC198">
            <v>54.857748609291797</v>
          </cell>
          <cell r="AD198">
            <v>18.8182713359022</v>
          </cell>
          <cell r="AE198">
            <v>5.0445598412390602</v>
          </cell>
          <cell r="AF198">
            <v>3.1146642285395201</v>
          </cell>
          <cell r="AG198">
            <v>7.7552691761317298</v>
          </cell>
          <cell r="AH198">
            <v>21.847134154507199</v>
          </cell>
          <cell r="AI198">
            <v>38.1602939847361</v>
          </cell>
          <cell r="AJ198">
            <v>8.6823042571593891</v>
          </cell>
          <cell r="AK198">
            <v>14.0918649783754</v>
          </cell>
          <cell r="AL198">
            <v>78.152865845492798</v>
          </cell>
          <cell r="AM198">
            <v>16.313159830229001</v>
          </cell>
          <cell r="AN198">
            <v>54.842290003128099</v>
          </cell>
          <cell r="AO198">
            <v>65.928894762846298</v>
          </cell>
          <cell r="AP198">
            <v>69.752277337301507</v>
          </cell>
          <cell r="AQ198">
            <v>38.529130172899201</v>
          </cell>
          <cell r="AR198">
            <v>53.439117507072602</v>
          </cell>
          <cell r="AS198">
            <v>23.310575842364699</v>
          </cell>
        </row>
        <row r="199">
          <cell r="C199" t="str">
            <v>Yemen</v>
          </cell>
          <cell r="D199" t="str">
            <v>Yemeni Rial</v>
          </cell>
          <cell r="E199" t="str">
            <v>YER</v>
          </cell>
          <cell r="F199">
            <v>1</v>
          </cell>
          <cell r="G199" t="e">
            <v>#N/A</v>
          </cell>
          <cell r="H199" t="e">
            <v>#N/A</v>
          </cell>
          <cell r="I199">
            <v>2.5739999999999998</v>
          </cell>
          <cell r="J199">
            <v>32.947000000000003</v>
          </cell>
          <cell r="K199">
            <v>385</v>
          </cell>
          <cell r="L199">
            <v>22.1</v>
          </cell>
          <cell r="M199">
            <v>41.9</v>
          </cell>
          <cell r="N199">
            <v>13553.281999999999</v>
          </cell>
          <cell r="O199">
            <v>13278.933000000001</v>
          </cell>
          <cell r="P199">
            <v>6.01781177429939</v>
          </cell>
          <cell r="Q199">
            <v>14.779674768074599</v>
          </cell>
          <cell r="R199">
            <v>40.672126500429897</v>
          </cell>
          <cell r="S199">
            <v>62.936689430648599</v>
          </cell>
          <cell r="T199">
            <v>16.169426711552202</v>
          </cell>
          <cell r="U199">
            <v>25.892451732355301</v>
          </cell>
          <cell r="V199">
            <v>59.327873499570103</v>
          </cell>
          <cell r="W199">
            <v>22.264562930218698</v>
          </cell>
          <cell r="X199">
            <v>50.5260865965897</v>
          </cell>
          <cell r="Y199">
            <v>54.921981258856697</v>
          </cell>
          <cell r="Z199">
            <v>56.695079464885303</v>
          </cell>
          <cell r="AA199">
            <v>28.261523666371001</v>
          </cell>
          <cell r="AB199">
            <v>34.430516534666701</v>
          </cell>
          <cell r="AC199">
            <v>35.6715074621778</v>
          </cell>
          <cell r="AD199">
            <v>8.8017869029803997</v>
          </cell>
          <cell r="AE199">
            <v>2.63279403468474</v>
          </cell>
          <cell r="AF199">
            <v>5.8889746638528901</v>
          </cell>
          <cell r="AG199">
            <v>14.469890013000301</v>
          </cell>
          <cell r="AH199">
            <v>39.847041927239196</v>
          </cell>
          <cell r="AI199">
            <v>61.7694358424732</v>
          </cell>
          <cell r="AJ199">
            <v>15.843946196580699</v>
          </cell>
          <cell r="AK199">
            <v>25.377151914238901</v>
          </cell>
          <cell r="AL199">
            <v>60.152958072760804</v>
          </cell>
          <cell r="AM199">
            <v>21.922393915234</v>
          </cell>
          <cell r="AN199">
            <v>49.990771095840302</v>
          </cell>
          <cell r="AO199">
            <v>55.2057081694742</v>
          </cell>
          <cell r="AP199">
            <v>57.208534752001498</v>
          </cell>
          <cell r="AQ199">
            <v>28.068377180606301</v>
          </cell>
          <cell r="AR199">
            <v>35.286140836767501</v>
          </cell>
          <cell r="AS199">
            <v>10.1621869769205</v>
          </cell>
        </row>
        <row r="200">
          <cell r="C200" t="str">
            <v>Zambia</v>
          </cell>
          <cell r="D200" t="str">
            <v>Kwacha</v>
          </cell>
          <cell r="E200" t="str">
            <v>ZMK</v>
          </cell>
          <cell r="F200">
            <v>1</v>
          </cell>
          <cell r="G200" t="e">
            <v>#N/A</v>
          </cell>
          <cell r="H200" t="e">
            <v>#N/A</v>
          </cell>
          <cell r="I200">
            <v>3.052</v>
          </cell>
          <cell r="J200">
            <v>40.470999999999997</v>
          </cell>
          <cell r="K200">
            <v>224</v>
          </cell>
          <cell r="L200">
            <v>21.4</v>
          </cell>
          <cell r="M200">
            <v>64</v>
          </cell>
          <cell r="N200">
            <v>8093.6469999999999</v>
          </cell>
          <cell r="O200">
            <v>8118.12</v>
          </cell>
          <cell r="P200">
            <v>7.3651099436385099</v>
          </cell>
          <cell r="Q200">
            <v>17.7713829130428</v>
          </cell>
          <cell r="R200">
            <v>46.310396289830798</v>
          </cell>
          <cell r="S200">
            <v>66.401994057808594</v>
          </cell>
          <cell r="T200">
            <v>18.273986992514001</v>
          </cell>
          <cell r="U200">
            <v>28.539013376787999</v>
          </cell>
          <cell r="V200">
            <v>53.689603710169202</v>
          </cell>
          <cell r="W200">
            <v>20.091597767977799</v>
          </cell>
          <cell r="X200">
            <v>46.579125578370302</v>
          </cell>
          <cell r="Y200">
            <v>49.981015974628001</v>
          </cell>
          <cell r="Z200">
            <v>51.148573689957097</v>
          </cell>
          <cell r="AA200">
            <v>26.4875278103925</v>
          </cell>
          <cell r="AB200">
            <v>31.056975921979301</v>
          </cell>
          <cell r="AC200">
            <v>32.058811065024202</v>
          </cell>
          <cell r="AD200">
            <v>7.1104781317989296</v>
          </cell>
          <cell r="AE200">
            <v>2.5410300202121499</v>
          </cell>
          <cell r="AF200">
            <v>7.1980704892265699</v>
          </cell>
          <cell r="AG200">
            <v>17.3987450296374</v>
          </cell>
          <cell r="AH200">
            <v>45.5206008287633</v>
          </cell>
          <cell r="AI200">
            <v>65.524468719358694</v>
          </cell>
          <cell r="AJ200">
            <v>17.982094376530501</v>
          </cell>
          <cell r="AK200">
            <v>28.1218557991259</v>
          </cell>
          <cell r="AL200">
            <v>54.4793991712367</v>
          </cell>
          <cell r="AM200">
            <v>20.003867890595401</v>
          </cell>
          <cell r="AN200">
            <v>45.987839549058101</v>
          </cell>
          <cell r="AO200">
            <v>49.680714254039103</v>
          </cell>
          <cell r="AP200">
            <v>51.204268968677503</v>
          </cell>
          <cell r="AQ200">
            <v>25.983971658462799</v>
          </cell>
          <cell r="AR200">
            <v>31.200401078082098</v>
          </cell>
          <cell r="AS200">
            <v>8.4915596221785297</v>
          </cell>
        </row>
        <row r="201">
          <cell r="C201" t="str">
            <v>Zimbabwe</v>
          </cell>
          <cell r="D201" t="str">
            <v>Zimbabwe Dollar</v>
          </cell>
          <cell r="E201" t="str">
            <v>ZWD</v>
          </cell>
          <cell r="F201">
            <v>1</v>
          </cell>
          <cell r="G201" t="e">
            <v>#N/A</v>
          </cell>
          <cell r="H201" t="e">
            <v>#N/A</v>
          </cell>
          <cell r="I201">
            <v>2.2050000000000001</v>
          </cell>
          <cell r="J201">
            <v>35.715000000000003</v>
          </cell>
          <cell r="K201">
            <v>443</v>
          </cell>
          <cell r="L201">
            <v>23.5</v>
          </cell>
          <cell r="M201">
            <v>70.7</v>
          </cell>
          <cell r="N201">
            <v>7687.5569999999998</v>
          </cell>
          <cell r="O201">
            <v>7915.1940000000004</v>
          </cell>
          <cell r="P201">
            <v>6.8058292120630801</v>
          </cell>
          <cell r="Q201">
            <v>16.3471568405932</v>
          </cell>
          <cell r="R201">
            <v>42.304779008467797</v>
          </cell>
          <cell r="S201">
            <v>63.330769449904601</v>
          </cell>
          <cell r="T201">
            <v>16.547740719190799</v>
          </cell>
          <cell r="U201">
            <v>25.9576221678747</v>
          </cell>
          <cell r="V201">
            <v>57.695220991532203</v>
          </cell>
          <cell r="W201">
            <v>21.025990441436701</v>
          </cell>
          <cell r="X201">
            <v>50.140298146732398</v>
          </cell>
          <cell r="Y201">
            <v>53.655966388281698</v>
          </cell>
          <cell r="Z201">
            <v>54.990161373762803</v>
          </cell>
          <cell r="AA201">
            <v>29.114307705295701</v>
          </cell>
          <cell r="AB201">
            <v>33.964170932326098</v>
          </cell>
          <cell r="AC201">
            <v>34.886310436462502</v>
          </cell>
          <cell r="AD201">
            <v>7.5549228447997203</v>
          </cell>
          <cell r="AE201">
            <v>2.70505961776934</v>
          </cell>
          <cell r="AF201">
            <v>6.5546466706943596</v>
          </cell>
          <cell r="AG201">
            <v>15.7669540380185</v>
          </cell>
          <cell r="AH201">
            <v>40.916167057939496</v>
          </cell>
          <cell r="AI201">
            <v>61.697868681424602</v>
          </cell>
          <cell r="AJ201">
            <v>16.018129182936001</v>
          </cell>
          <cell r="AK201">
            <v>25.1492130199209</v>
          </cell>
          <cell r="AL201">
            <v>59.083832942060504</v>
          </cell>
          <cell r="AM201">
            <v>20.781701623485201</v>
          </cell>
          <cell r="AN201">
            <v>50.551332033049299</v>
          </cell>
          <cell r="AO201">
            <v>54.343620636461999</v>
          </cell>
          <cell r="AP201">
            <v>55.867297756694299</v>
          </cell>
          <cell r="AQ201">
            <v>29.769630409564201</v>
          </cell>
          <cell r="AR201">
            <v>35.085596133209101</v>
          </cell>
          <cell r="AS201">
            <v>8.5325009090111994</v>
          </cell>
        </row>
      </sheetData>
      <sheetData sheetId="22">
        <row r="19">
          <cell r="E19" t="str">
            <v>Country code</v>
          </cell>
          <cell r="F19">
            <v>1950</v>
          </cell>
          <cell r="G19">
            <v>1951</v>
          </cell>
          <cell r="H19">
            <v>1952</v>
          </cell>
          <cell r="I19">
            <v>1953</v>
          </cell>
          <cell r="J19">
            <v>1954</v>
          </cell>
          <cell r="K19">
            <v>1955</v>
          </cell>
          <cell r="L19">
            <v>1956</v>
          </cell>
          <cell r="M19">
            <v>1957</v>
          </cell>
          <cell r="N19">
            <v>1958</v>
          </cell>
          <cell r="O19">
            <v>1959</v>
          </cell>
          <cell r="P19">
            <v>1960</v>
          </cell>
          <cell r="Q19">
            <v>1961</v>
          </cell>
          <cell r="R19">
            <v>1962</v>
          </cell>
          <cell r="S19">
            <v>1963</v>
          </cell>
          <cell r="T19">
            <v>1964</v>
          </cell>
          <cell r="U19">
            <v>1965</v>
          </cell>
          <cell r="V19">
            <v>1966</v>
          </cell>
          <cell r="W19">
            <v>1967</v>
          </cell>
          <cell r="X19">
            <v>1968</v>
          </cell>
          <cell r="Y19">
            <v>1969</v>
          </cell>
          <cell r="Z19">
            <v>1970</v>
          </cell>
          <cell r="AA19">
            <v>1971</v>
          </cell>
          <cell r="AB19">
            <v>1972</v>
          </cell>
          <cell r="AC19">
            <v>1973</v>
          </cell>
          <cell r="AD19">
            <v>1974</v>
          </cell>
          <cell r="AE19">
            <v>1975</v>
          </cell>
          <cell r="AF19">
            <v>1976</v>
          </cell>
          <cell r="AG19">
            <v>1977</v>
          </cell>
          <cell r="AH19">
            <v>1978</v>
          </cell>
          <cell r="AI19">
            <v>1979</v>
          </cell>
          <cell r="AJ19">
            <v>1980</v>
          </cell>
          <cell r="AK19">
            <v>1981</v>
          </cell>
          <cell r="AL19">
            <v>1982</v>
          </cell>
          <cell r="AM19">
            <v>1983</v>
          </cell>
          <cell r="AN19">
            <v>1984</v>
          </cell>
          <cell r="AO19">
            <v>1985</v>
          </cell>
          <cell r="AP19">
            <v>1986</v>
          </cell>
          <cell r="AQ19">
            <v>1987</v>
          </cell>
          <cell r="AR19">
            <v>1988</v>
          </cell>
          <cell r="AS19">
            <v>1989</v>
          </cell>
          <cell r="AT19">
            <v>1990</v>
          </cell>
          <cell r="AU19">
            <v>1991</v>
          </cell>
          <cell r="AV19">
            <v>1992</v>
          </cell>
          <cell r="AW19">
            <v>1993</v>
          </cell>
          <cell r="AX19">
            <v>1994</v>
          </cell>
          <cell r="AY19">
            <v>1995</v>
          </cell>
          <cell r="AZ19">
            <v>1996</v>
          </cell>
          <cell r="BA19">
            <v>1997</v>
          </cell>
          <cell r="BB19">
            <v>1998</v>
          </cell>
          <cell r="BC19">
            <v>1999</v>
          </cell>
          <cell r="BD19">
            <v>2000</v>
          </cell>
          <cell r="BE19">
            <v>2001</v>
          </cell>
          <cell r="BF19">
            <v>2002</v>
          </cell>
          <cell r="BG19">
            <v>2003</v>
          </cell>
          <cell r="BH19">
            <v>2004</v>
          </cell>
          <cell r="BI19">
            <v>2005</v>
          </cell>
          <cell r="BJ19">
            <v>2006</v>
          </cell>
          <cell r="BK19">
            <v>2007</v>
          </cell>
          <cell r="BL19">
            <v>2008</v>
          </cell>
          <cell r="BM19">
            <v>2009</v>
          </cell>
          <cell r="BN19">
            <v>2010</v>
          </cell>
          <cell r="BO19">
            <v>2011</v>
          </cell>
          <cell r="BP19">
            <v>2012</v>
          </cell>
          <cell r="BQ19">
            <v>2013</v>
          </cell>
          <cell r="BR19">
            <v>2014</v>
          </cell>
          <cell r="BS19">
            <v>2015</v>
          </cell>
        </row>
        <row r="20">
          <cell r="E20">
            <v>900</v>
          </cell>
          <cell r="F20">
            <v>2525149.3119999999</v>
          </cell>
          <cell r="G20">
            <v>2571867.5150000001</v>
          </cell>
          <cell r="H20">
            <v>2617940.3990000002</v>
          </cell>
          <cell r="I20">
            <v>2664029.0099999998</v>
          </cell>
          <cell r="J20">
            <v>2710677.773</v>
          </cell>
          <cell r="K20">
            <v>2758314.5249999999</v>
          </cell>
          <cell r="L20">
            <v>2807246.148</v>
          </cell>
          <cell r="M20">
            <v>2857662.91</v>
          </cell>
          <cell r="N20">
            <v>2909651.3960000002</v>
          </cell>
          <cell r="O20">
            <v>2963216.0529999998</v>
          </cell>
          <cell r="P20">
            <v>3018343.8280000002</v>
          </cell>
          <cell r="Q20">
            <v>3075073.173</v>
          </cell>
          <cell r="R20">
            <v>3133554.3620000002</v>
          </cell>
          <cell r="S20">
            <v>3194075.3470000001</v>
          </cell>
          <cell r="T20">
            <v>3256988.5010000002</v>
          </cell>
          <cell r="U20">
            <v>3322495.1209999998</v>
          </cell>
          <cell r="V20">
            <v>3390685.523</v>
          </cell>
          <cell r="W20">
            <v>3461343.1719999998</v>
          </cell>
          <cell r="X20">
            <v>3533966.9010000001</v>
          </cell>
          <cell r="Y20">
            <v>3607865.5129999998</v>
          </cell>
          <cell r="Z20">
            <v>3682487.6910000001</v>
          </cell>
          <cell r="AA20">
            <v>3757734.6680000001</v>
          </cell>
          <cell r="AB20">
            <v>3833594.8939999999</v>
          </cell>
          <cell r="AC20">
            <v>3909722.12</v>
          </cell>
          <cell r="AD20">
            <v>3985733.7749999999</v>
          </cell>
          <cell r="AE20">
            <v>4061399.2280000001</v>
          </cell>
          <cell r="AF20">
            <v>4136542.07</v>
          </cell>
          <cell r="AG20">
            <v>4211322.4270000001</v>
          </cell>
          <cell r="AH20">
            <v>4286282.4469999997</v>
          </cell>
          <cell r="AI20">
            <v>4362189.5310000004</v>
          </cell>
          <cell r="AJ20">
            <v>4439632.4649999999</v>
          </cell>
          <cell r="AK20">
            <v>4518602.0420000004</v>
          </cell>
          <cell r="AL20">
            <v>4599003.3739999998</v>
          </cell>
          <cell r="AM20">
            <v>4681210.5080000004</v>
          </cell>
          <cell r="AN20">
            <v>4765657.5619999999</v>
          </cell>
          <cell r="AO20">
            <v>4852540.5690000001</v>
          </cell>
          <cell r="AP20">
            <v>4942056.1179999998</v>
          </cell>
          <cell r="AQ20">
            <v>5033804.9440000001</v>
          </cell>
          <cell r="AR20">
            <v>5126632.6940000001</v>
          </cell>
          <cell r="AS20">
            <v>5218978.0190000003</v>
          </cell>
          <cell r="AT20">
            <v>5309667.699</v>
          </cell>
          <cell r="AU20">
            <v>5398328.7529999996</v>
          </cell>
          <cell r="AV20">
            <v>5485115.2759999996</v>
          </cell>
          <cell r="AW20">
            <v>5570045.3799999999</v>
          </cell>
          <cell r="AX20">
            <v>5653315.8930000002</v>
          </cell>
          <cell r="AY20">
            <v>5735123.0839999998</v>
          </cell>
          <cell r="AZ20">
            <v>5815392.3049999997</v>
          </cell>
          <cell r="BA20">
            <v>5894155.1050000004</v>
          </cell>
          <cell r="BB20">
            <v>5971882.8250000002</v>
          </cell>
          <cell r="BC20">
            <v>6049205.2029999997</v>
          </cell>
          <cell r="BD20">
            <v>6126622.1210000003</v>
          </cell>
          <cell r="BE20">
            <v>6204310.7390000001</v>
          </cell>
          <cell r="BF20">
            <v>6282301.767</v>
          </cell>
          <cell r="BG20">
            <v>6360764.6840000004</v>
          </cell>
          <cell r="BH20">
            <v>6439842.4079999998</v>
          </cell>
          <cell r="BI20">
            <v>6519635.8499999996</v>
          </cell>
          <cell r="BJ20">
            <v>6600220.2470000004</v>
          </cell>
          <cell r="BK20">
            <v>6681607.3200000003</v>
          </cell>
          <cell r="BL20">
            <v>6763732.8789999997</v>
          </cell>
          <cell r="BM20">
            <v>6846479.5209999997</v>
          </cell>
          <cell r="BN20">
            <v>6929725.0430000098</v>
          </cell>
          <cell r="BO20">
            <v>7013427.0520000001</v>
          </cell>
          <cell r="BP20">
            <v>7097500.4529999997</v>
          </cell>
          <cell r="BQ20">
            <v>7181715.1390000004</v>
          </cell>
          <cell r="BR20">
            <v>7265785.9460000005</v>
          </cell>
          <cell r="BS20">
            <v>7349472.0990000004</v>
          </cell>
        </row>
        <row r="21">
          <cell r="E21">
            <v>901</v>
          </cell>
          <cell r="F21">
            <v>812988.79</v>
          </cell>
          <cell r="G21">
            <v>822320.46400000004</v>
          </cell>
          <cell r="H21">
            <v>832148.69200000004</v>
          </cell>
          <cell r="I21">
            <v>842293.63800000004</v>
          </cell>
          <cell r="J21">
            <v>852613.42500000005</v>
          </cell>
          <cell r="K21">
            <v>863004.12</v>
          </cell>
          <cell r="L21">
            <v>873401.52899999998</v>
          </cell>
          <cell r="M21">
            <v>883779.40599999996</v>
          </cell>
          <cell r="N21">
            <v>894144.06900000002</v>
          </cell>
          <cell r="O21">
            <v>904525.51300000004</v>
          </cell>
          <cell r="P21">
            <v>914950.50800000003</v>
          </cell>
          <cell r="Q21">
            <v>925414.06799999997</v>
          </cell>
          <cell r="R21">
            <v>935854.35</v>
          </cell>
          <cell r="S21">
            <v>946141.97699999996</v>
          </cell>
          <cell r="T21">
            <v>956110.40099999995</v>
          </cell>
          <cell r="U21">
            <v>965645.33700000006</v>
          </cell>
          <cell r="V21">
            <v>974680.93700000003</v>
          </cell>
          <cell r="W21">
            <v>983258.22100000002</v>
          </cell>
          <cell r="X21">
            <v>991502.554</v>
          </cell>
          <cell r="Y21">
            <v>999599.55700000003</v>
          </cell>
          <cell r="Z21">
            <v>1007682.116</v>
          </cell>
          <cell r="AA21">
            <v>1015795.78</v>
          </cell>
          <cell r="AB21">
            <v>1023894.976</v>
          </cell>
          <cell r="AC21">
            <v>1031912.423</v>
          </cell>
          <cell r="AD21">
            <v>1039742.787</v>
          </cell>
          <cell r="AE21">
            <v>1047312.497</v>
          </cell>
          <cell r="AF21">
            <v>1054609.6680000001</v>
          </cell>
          <cell r="AG21">
            <v>1061671.2779999999</v>
          </cell>
          <cell r="AH21">
            <v>1068531.4939999999</v>
          </cell>
          <cell r="AI21">
            <v>1075241.8430000001</v>
          </cell>
          <cell r="AJ21">
            <v>1081843.798</v>
          </cell>
          <cell r="AK21">
            <v>1088334.8430000001</v>
          </cell>
          <cell r="AL21">
            <v>1094712.963</v>
          </cell>
          <cell r="AM21">
            <v>1101019.906</v>
          </cell>
          <cell r="AN21">
            <v>1107306.9979999999</v>
          </cell>
          <cell r="AO21">
            <v>1113604.801</v>
          </cell>
          <cell r="AP21">
            <v>1119932.08</v>
          </cell>
          <cell r="AQ21">
            <v>1126262.398</v>
          </cell>
          <cell r="AR21">
            <v>1132523.787</v>
          </cell>
          <cell r="AS21">
            <v>1138616.0109999999</v>
          </cell>
          <cell r="AT21">
            <v>1144463.0619999999</v>
          </cell>
          <cell r="AU21">
            <v>1150057.5260000001</v>
          </cell>
          <cell r="AV21">
            <v>1155411.9550000001</v>
          </cell>
          <cell r="AW21">
            <v>1160497.2009999999</v>
          </cell>
          <cell r="AX21">
            <v>1165283.6259999999</v>
          </cell>
          <cell r="AY21">
            <v>1169761.2109999999</v>
          </cell>
          <cell r="AZ21">
            <v>1173920.0430000001</v>
          </cell>
          <cell r="BA21">
            <v>1177796.6359999999</v>
          </cell>
          <cell r="BB21">
            <v>1181488.274</v>
          </cell>
          <cell r="BC21">
            <v>1185125.425</v>
          </cell>
          <cell r="BD21">
            <v>1188811.7309999999</v>
          </cell>
          <cell r="BE21">
            <v>1192558.2990000001</v>
          </cell>
          <cell r="BF21">
            <v>1196365.8319999999</v>
          </cell>
          <cell r="BG21">
            <v>1200310.5220000001</v>
          </cell>
          <cell r="BH21">
            <v>1204479.3529999999</v>
          </cell>
          <cell r="BI21">
            <v>1208919.5090000001</v>
          </cell>
          <cell r="BJ21">
            <v>1213682.9310000001</v>
          </cell>
          <cell r="BK21">
            <v>1218717.9539999999</v>
          </cell>
          <cell r="BL21">
            <v>1223838.1529999999</v>
          </cell>
          <cell r="BM21">
            <v>1228786.0959999999</v>
          </cell>
          <cell r="BN21">
            <v>1233375.7109999999</v>
          </cell>
          <cell r="BO21">
            <v>1237531.895</v>
          </cell>
          <cell r="BP21">
            <v>1241302.3049999999</v>
          </cell>
          <cell r="BQ21">
            <v>1244774.0120000001</v>
          </cell>
          <cell r="BR21">
            <v>1248089.4350000001</v>
          </cell>
          <cell r="BS21">
            <v>1251351.0859999999</v>
          </cell>
        </row>
        <row r="22">
          <cell r="E22">
            <v>902</v>
          </cell>
          <cell r="F22">
            <v>1712160.5220000001</v>
          </cell>
          <cell r="G22">
            <v>1749547.051</v>
          </cell>
          <cell r="H22">
            <v>1785791.7069999999</v>
          </cell>
          <cell r="I22">
            <v>1821735.372</v>
          </cell>
          <cell r="J22">
            <v>1858064.348</v>
          </cell>
          <cell r="K22">
            <v>1895310.405</v>
          </cell>
          <cell r="L22">
            <v>1933844.6189999999</v>
          </cell>
          <cell r="M22">
            <v>1973883.504</v>
          </cell>
          <cell r="N22">
            <v>2015507.327</v>
          </cell>
          <cell r="O22">
            <v>2058690.54</v>
          </cell>
          <cell r="P22">
            <v>2103393.3199999998</v>
          </cell>
          <cell r="Q22">
            <v>2149659.105</v>
          </cell>
          <cell r="R22">
            <v>2197700.0120000001</v>
          </cell>
          <cell r="S22">
            <v>2247933.37</v>
          </cell>
          <cell r="T22">
            <v>2300878.1</v>
          </cell>
          <cell r="U22">
            <v>2356849.784</v>
          </cell>
          <cell r="V22">
            <v>2416004.5860000001</v>
          </cell>
          <cell r="W22">
            <v>2478084.9509999999</v>
          </cell>
          <cell r="X22">
            <v>2542464.3470000001</v>
          </cell>
          <cell r="Y22">
            <v>2608265.9559999998</v>
          </cell>
          <cell r="Z22">
            <v>2674805.5750000002</v>
          </cell>
          <cell r="AA22">
            <v>2741938.8879999998</v>
          </cell>
          <cell r="AB22">
            <v>2809699.9180000001</v>
          </cell>
          <cell r="AC22">
            <v>2877809.6970000002</v>
          </cell>
          <cell r="AD22">
            <v>2945990.9879999999</v>
          </cell>
          <cell r="AE22">
            <v>3014086.7310000001</v>
          </cell>
          <cell r="AF22">
            <v>3081932.4019999998</v>
          </cell>
          <cell r="AG22">
            <v>3149651.1490000002</v>
          </cell>
          <cell r="AH22">
            <v>3217750.9530000002</v>
          </cell>
          <cell r="AI22">
            <v>3286947.6880000001</v>
          </cell>
          <cell r="AJ22">
            <v>3357788.6669999999</v>
          </cell>
          <cell r="AK22">
            <v>3430267.199</v>
          </cell>
          <cell r="AL22">
            <v>3504290.4109999998</v>
          </cell>
          <cell r="AM22">
            <v>3580190.602</v>
          </cell>
          <cell r="AN22">
            <v>3658350.5639999998</v>
          </cell>
          <cell r="AO22">
            <v>3738935.7680000002</v>
          </cell>
          <cell r="AP22">
            <v>3822124.0380000002</v>
          </cell>
          <cell r="AQ22">
            <v>3907542.5460000001</v>
          </cell>
          <cell r="AR22">
            <v>3994108.9070000001</v>
          </cell>
          <cell r="AS22">
            <v>4080362.0079999999</v>
          </cell>
          <cell r="AT22">
            <v>4165204.6370000001</v>
          </cell>
          <cell r="AU22">
            <v>4248271.227</v>
          </cell>
          <cell r="AV22">
            <v>4329703.3210000005</v>
          </cell>
          <cell r="AW22">
            <v>4409548.1789999995</v>
          </cell>
          <cell r="AX22">
            <v>4488032.267</v>
          </cell>
          <cell r="AY22">
            <v>4565361.8729999997</v>
          </cell>
          <cell r="AZ22">
            <v>4641472.2620000001</v>
          </cell>
          <cell r="BA22">
            <v>4716358.4689999996</v>
          </cell>
          <cell r="BB22">
            <v>4790394.551</v>
          </cell>
          <cell r="BC22">
            <v>4864079.7779999999</v>
          </cell>
          <cell r="BD22">
            <v>4937810.3899999997</v>
          </cell>
          <cell r="BE22">
            <v>5011752.4400000004</v>
          </cell>
          <cell r="BF22">
            <v>5085935.9349999996</v>
          </cell>
          <cell r="BG22">
            <v>5160454.1619999995</v>
          </cell>
          <cell r="BH22">
            <v>5235363.0549999997</v>
          </cell>
          <cell r="BI22">
            <v>5310716.341</v>
          </cell>
          <cell r="BJ22">
            <v>5386537.3159999996</v>
          </cell>
          <cell r="BK22">
            <v>5462889.3660000004</v>
          </cell>
          <cell r="BL22">
            <v>5539894.7259999998</v>
          </cell>
          <cell r="BM22">
            <v>5617693.4249999998</v>
          </cell>
          <cell r="BN22">
            <v>5696349.3320000097</v>
          </cell>
          <cell r="BO22">
            <v>5775895.1569999997</v>
          </cell>
          <cell r="BP22">
            <v>5856198.148</v>
          </cell>
          <cell r="BQ22">
            <v>5936941.1270000003</v>
          </cell>
          <cell r="BR22">
            <v>6017696.5109999999</v>
          </cell>
          <cell r="BS22">
            <v>6098121.0130000003</v>
          </cell>
        </row>
        <row r="23">
          <cell r="E23">
            <v>941</v>
          </cell>
          <cell r="F23">
            <v>195724.55499999999</v>
          </cell>
          <cell r="G23">
            <v>199494.22899999999</v>
          </cell>
          <cell r="H23">
            <v>203321.50599999999</v>
          </cell>
          <cell r="I23">
            <v>207277.514</v>
          </cell>
          <cell r="J23">
            <v>211416.65900000001</v>
          </cell>
          <cell r="K23">
            <v>215776.62599999999</v>
          </cell>
          <cell r="L23">
            <v>220377.61499999999</v>
          </cell>
          <cell r="M23">
            <v>225223.10500000001</v>
          </cell>
          <cell r="N23">
            <v>230302.049</v>
          </cell>
          <cell r="O23">
            <v>235592.52100000001</v>
          </cell>
          <cell r="P23">
            <v>241072.81400000001</v>
          </cell>
          <cell r="Q23">
            <v>246733.12400000001</v>
          </cell>
          <cell r="R23">
            <v>252585.90400000001</v>
          </cell>
          <cell r="S23">
            <v>258670.231</v>
          </cell>
          <cell r="T23">
            <v>265039.35999999999</v>
          </cell>
          <cell r="U23">
            <v>271723.89399999997</v>
          </cell>
          <cell r="V23">
            <v>278755.77399999998</v>
          </cell>
          <cell r="W23">
            <v>286104.46600000001</v>
          </cell>
          <cell r="X23">
            <v>293663.04200000002</v>
          </cell>
          <cell r="Y23">
            <v>301284.58399999997</v>
          </cell>
          <cell r="Z23">
            <v>308870.065</v>
          </cell>
          <cell r="AA23">
            <v>316378.185</v>
          </cell>
          <cell r="AB23">
            <v>323858.65899999999</v>
          </cell>
          <cell r="AC23">
            <v>331415.93599999999</v>
          </cell>
          <cell r="AD23">
            <v>339201.66</v>
          </cell>
          <cell r="AE23">
            <v>347328.80599999998</v>
          </cell>
          <cell r="AF23">
            <v>355839.31599999999</v>
          </cell>
          <cell r="AG23">
            <v>364711.97499999998</v>
          </cell>
          <cell r="AH23">
            <v>373921.37</v>
          </cell>
          <cell r="AI23">
            <v>383418.36900000001</v>
          </cell>
          <cell r="AJ23">
            <v>393172.01199999999</v>
          </cell>
          <cell r="AK23">
            <v>403186.70600000001</v>
          </cell>
          <cell r="AL23">
            <v>413495.92</v>
          </cell>
          <cell r="AM23">
            <v>424131.97600000002</v>
          </cell>
          <cell r="AN23">
            <v>435137.234</v>
          </cell>
          <cell r="AO23">
            <v>446546.15100000001</v>
          </cell>
          <cell r="AP23">
            <v>458352.45600000001</v>
          </cell>
          <cell r="AQ23">
            <v>470557.196</v>
          </cell>
          <cell r="AR23">
            <v>483208.054</v>
          </cell>
          <cell r="AS23">
            <v>496364.38799999998</v>
          </cell>
          <cell r="AT23">
            <v>510057.62900000002</v>
          </cell>
          <cell r="AU23">
            <v>524324.69900000002</v>
          </cell>
          <cell r="AV23">
            <v>539125.75600000005</v>
          </cell>
          <cell r="AW23">
            <v>554321.29700000002</v>
          </cell>
          <cell r="AX23">
            <v>569720.37399999995</v>
          </cell>
          <cell r="AY23">
            <v>585189.35400000005</v>
          </cell>
          <cell r="AZ23">
            <v>600664.66500000004</v>
          </cell>
          <cell r="BA23">
            <v>616192.978</v>
          </cell>
          <cell r="BB23">
            <v>631885.76599999995</v>
          </cell>
          <cell r="BC23">
            <v>647910.647</v>
          </cell>
          <cell r="BD23">
            <v>664386.08700000006</v>
          </cell>
          <cell r="BE23">
            <v>681362.48400000005</v>
          </cell>
          <cell r="BF23">
            <v>698794.94299999997</v>
          </cell>
          <cell r="BG23">
            <v>716594.05</v>
          </cell>
          <cell r="BH23">
            <v>734626.51100000006</v>
          </cell>
          <cell r="BI23">
            <v>752804.951</v>
          </cell>
          <cell r="BJ23">
            <v>771094.42799999996</v>
          </cell>
          <cell r="BK23">
            <v>789552.73100000003</v>
          </cell>
          <cell r="BL23">
            <v>808296.99</v>
          </cell>
          <cell r="BM23">
            <v>827491.79500000004</v>
          </cell>
          <cell r="BN23">
            <v>847254.84699999995</v>
          </cell>
          <cell r="BO23">
            <v>867623.5</v>
          </cell>
          <cell r="BP23">
            <v>888559.745</v>
          </cell>
          <cell r="BQ23">
            <v>910012.84</v>
          </cell>
          <cell r="BR23">
            <v>931900.321</v>
          </cell>
          <cell r="BS23">
            <v>954157.804</v>
          </cell>
        </row>
        <row r="24">
          <cell r="E24">
            <v>934</v>
          </cell>
          <cell r="F24">
            <v>1516435.9669999999</v>
          </cell>
          <cell r="G24">
            <v>1550052.8219999999</v>
          </cell>
          <cell r="H24">
            <v>1582470.2009999999</v>
          </cell>
          <cell r="I24">
            <v>1614457.858</v>
          </cell>
          <cell r="J24">
            <v>1646647.689</v>
          </cell>
          <cell r="K24">
            <v>1679533.7790000001</v>
          </cell>
          <cell r="L24">
            <v>1713467.004</v>
          </cell>
          <cell r="M24">
            <v>1748660.399</v>
          </cell>
          <cell r="N24">
            <v>1785205.2779999999</v>
          </cell>
          <cell r="O24">
            <v>1823098.0190000001</v>
          </cell>
          <cell r="P24">
            <v>1862320.5060000001</v>
          </cell>
          <cell r="Q24">
            <v>1902925.9809999999</v>
          </cell>
          <cell r="R24">
            <v>1945114.108</v>
          </cell>
          <cell r="S24">
            <v>1989263.139</v>
          </cell>
          <cell r="T24">
            <v>2035838.74</v>
          </cell>
          <cell r="U24">
            <v>2085125.89</v>
          </cell>
          <cell r="V24">
            <v>2137248.8119999999</v>
          </cell>
          <cell r="W24">
            <v>2191980.4849999999</v>
          </cell>
          <cell r="X24">
            <v>2248801.3050000002</v>
          </cell>
          <cell r="Y24">
            <v>2306981.372</v>
          </cell>
          <cell r="Z24">
            <v>2365935.5099999998</v>
          </cell>
          <cell r="AA24">
            <v>2425560.7030000002</v>
          </cell>
          <cell r="AB24">
            <v>2485841.2590000001</v>
          </cell>
          <cell r="AC24">
            <v>2546393.7609999999</v>
          </cell>
          <cell r="AD24">
            <v>2606789.3280000002</v>
          </cell>
          <cell r="AE24">
            <v>2666757.9249999998</v>
          </cell>
          <cell r="AF24">
            <v>2726093.0860000001</v>
          </cell>
          <cell r="AG24">
            <v>2784939.1740000001</v>
          </cell>
          <cell r="AH24">
            <v>2843829.5830000001</v>
          </cell>
          <cell r="AI24">
            <v>2903529.3190000001</v>
          </cell>
          <cell r="AJ24">
            <v>2964616.6549999998</v>
          </cell>
          <cell r="AK24">
            <v>3027080.4929999998</v>
          </cell>
          <cell r="AL24">
            <v>3090794.4909999999</v>
          </cell>
          <cell r="AM24">
            <v>3156058.6260000002</v>
          </cell>
          <cell r="AN24">
            <v>3223213.33</v>
          </cell>
          <cell r="AO24">
            <v>3292389.6170000001</v>
          </cell>
          <cell r="AP24">
            <v>3363771.5819999999</v>
          </cell>
          <cell r="AQ24">
            <v>3436985.35</v>
          </cell>
          <cell r="AR24">
            <v>3510900.8530000001</v>
          </cell>
          <cell r="AS24">
            <v>3583997.62</v>
          </cell>
          <cell r="AT24">
            <v>3655147.0079999999</v>
          </cell>
          <cell r="AU24">
            <v>3723946.5279999999</v>
          </cell>
          <cell r="AV24">
            <v>3790577.5649999999</v>
          </cell>
          <cell r="AW24">
            <v>3855226.8820000002</v>
          </cell>
          <cell r="AX24">
            <v>3918311.8930000002</v>
          </cell>
          <cell r="AY24">
            <v>3980172.5189999999</v>
          </cell>
          <cell r="AZ24">
            <v>4040807.5970000001</v>
          </cell>
          <cell r="BA24">
            <v>4100165.4909999999</v>
          </cell>
          <cell r="BB24">
            <v>4158508.7850000001</v>
          </cell>
          <cell r="BC24">
            <v>4216169.1310000001</v>
          </cell>
          <cell r="BD24">
            <v>4273424.3030000003</v>
          </cell>
          <cell r="BE24">
            <v>4330389.9560000002</v>
          </cell>
          <cell r="BF24">
            <v>4387140.9919999996</v>
          </cell>
          <cell r="BG24">
            <v>4443860.1119999997</v>
          </cell>
          <cell r="BH24">
            <v>4500736.5439999998</v>
          </cell>
          <cell r="BI24">
            <v>4557911.3899999997</v>
          </cell>
          <cell r="BJ24">
            <v>4615442.8880000003</v>
          </cell>
          <cell r="BK24">
            <v>4673336.6349999998</v>
          </cell>
          <cell r="BL24">
            <v>4731597.7359999996</v>
          </cell>
          <cell r="BM24">
            <v>4790201.63</v>
          </cell>
          <cell r="BN24">
            <v>4849094.4850000003</v>
          </cell>
          <cell r="BO24">
            <v>4908271.6569999997</v>
          </cell>
          <cell r="BP24">
            <v>4967638.4029999999</v>
          </cell>
          <cell r="BQ24">
            <v>5026928.2869999995</v>
          </cell>
          <cell r="BR24">
            <v>5085796.1900000004</v>
          </cell>
          <cell r="BS24">
            <v>5143963.2089999998</v>
          </cell>
        </row>
        <row r="25">
          <cell r="E25">
            <v>948</v>
          </cell>
          <cell r="F25">
            <v>1158315.2560000001</v>
          </cell>
          <cell r="G25">
            <v>1180687.6510000001</v>
          </cell>
          <cell r="H25">
            <v>1204645.827</v>
          </cell>
          <cell r="I25">
            <v>1230101.8389999999</v>
          </cell>
          <cell r="J25">
            <v>1256979.0449999999</v>
          </cell>
          <cell r="K25">
            <v>1285212.145</v>
          </cell>
          <cell r="L25">
            <v>1314747.52</v>
          </cell>
          <cell r="M25">
            <v>1345542.8670000001</v>
          </cell>
          <cell r="N25">
            <v>1377566.0560000001</v>
          </cell>
          <cell r="O25">
            <v>1410793.1440000001</v>
          </cell>
          <cell r="P25">
            <v>1445202.6229999999</v>
          </cell>
          <cell r="Q25">
            <v>1480769.193</v>
          </cell>
          <cell r="R25">
            <v>1517458.3810000001</v>
          </cell>
          <cell r="S25">
            <v>1555224.1610000001</v>
          </cell>
          <cell r="T25">
            <v>1594015.5870000001</v>
          </cell>
          <cell r="U25">
            <v>1633796.139</v>
          </cell>
          <cell r="V25">
            <v>1674544.7990000001</v>
          </cell>
          <cell r="W25">
            <v>1716265.277</v>
          </cell>
          <cell r="X25">
            <v>1758979.108</v>
          </cell>
          <cell r="Y25">
            <v>1802722.702</v>
          </cell>
          <cell r="Z25">
            <v>1847526.571</v>
          </cell>
          <cell r="AA25">
            <v>1893412.514</v>
          </cell>
          <cell r="AB25">
            <v>1940386.5449999999</v>
          </cell>
          <cell r="AC25">
            <v>1988448.003</v>
          </cell>
          <cell r="AD25">
            <v>2037590.669</v>
          </cell>
          <cell r="AE25">
            <v>2087822.4539999999</v>
          </cell>
          <cell r="AF25">
            <v>2139100.4509999999</v>
          </cell>
          <cell r="AG25">
            <v>2191457.5389999999</v>
          </cell>
          <cell r="AH25">
            <v>2245063.7969999998</v>
          </cell>
          <cell r="AI25">
            <v>2300145.446</v>
          </cell>
          <cell r="AJ25">
            <v>2356841.5690000001</v>
          </cell>
          <cell r="AK25">
            <v>2415181.8870000001</v>
          </cell>
          <cell r="AL25">
            <v>2475043.5690000001</v>
          </cell>
          <cell r="AM25">
            <v>2536216.821</v>
          </cell>
          <cell r="AN25">
            <v>2598409.747</v>
          </cell>
          <cell r="AO25">
            <v>2661376.8259999999</v>
          </cell>
          <cell r="AP25">
            <v>2725039.804</v>
          </cell>
          <cell r="AQ25">
            <v>2789347.0469999998</v>
          </cell>
          <cell r="AR25">
            <v>2854110.0380000002</v>
          </cell>
          <cell r="AS25">
            <v>2919118.6680000001</v>
          </cell>
          <cell r="AT25">
            <v>2984212.7409999999</v>
          </cell>
          <cell r="AU25">
            <v>3049294.9389999998</v>
          </cell>
          <cell r="AV25">
            <v>3114349.2349999999</v>
          </cell>
          <cell r="AW25">
            <v>3179406.2769999998</v>
          </cell>
          <cell r="AX25">
            <v>3244543.0490000001</v>
          </cell>
          <cell r="AY25">
            <v>3309821.9139999999</v>
          </cell>
          <cell r="AZ25">
            <v>3375244.7769999998</v>
          </cell>
          <cell r="BA25">
            <v>3440799.3810000001</v>
          </cell>
          <cell r="BB25">
            <v>3506524.9270000001</v>
          </cell>
          <cell r="BC25">
            <v>3572471</v>
          </cell>
          <cell r="BD25">
            <v>3638684.9649999999</v>
          </cell>
          <cell r="BE25">
            <v>3705194.6329999999</v>
          </cell>
          <cell r="BF25">
            <v>3772031.7149999999</v>
          </cell>
          <cell r="BG25">
            <v>3839253.341</v>
          </cell>
          <cell r="BH25">
            <v>3906924.4959999998</v>
          </cell>
          <cell r="BI25">
            <v>3975101.0380000002</v>
          </cell>
          <cell r="BJ25">
            <v>4043771.3059999999</v>
          </cell>
          <cell r="BK25">
            <v>4112950.156</v>
          </cell>
          <cell r="BL25">
            <v>4182744.4789999998</v>
          </cell>
          <cell r="BM25">
            <v>4253287.7529999996</v>
          </cell>
          <cell r="BN25">
            <v>4324651.9939999999</v>
          </cell>
          <cell r="BO25">
            <v>4396870.9989999998</v>
          </cell>
          <cell r="BP25">
            <v>4469848.1289999997</v>
          </cell>
          <cell r="BQ25">
            <v>4543358.1780000003</v>
          </cell>
          <cell r="BR25">
            <v>4617094.3049999997</v>
          </cell>
          <cell r="BS25">
            <v>4690815.443</v>
          </cell>
        </row>
        <row r="26">
          <cell r="E26">
            <v>1503</v>
          </cell>
          <cell r="F26">
            <v>800383.36699999997</v>
          </cell>
          <cell r="G26">
            <v>810059.25600000005</v>
          </cell>
          <cell r="H26">
            <v>820444.88399999996</v>
          </cell>
          <cell r="I26">
            <v>831322.73699999996</v>
          </cell>
          <cell r="J26">
            <v>842518.77800000005</v>
          </cell>
          <cell r="K26">
            <v>853902.40800000005</v>
          </cell>
          <cell r="L26">
            <v>865388.45799999998</v>
          </cell>
          <cell r="M26">
            <v>876935.228</v>
          </cell>
          <cell r="N26">
            <v>888538.52899999998</v>
          </cell>
          <cell r="O26">
            <v>900221.87899999996</v>
          </cell>
          <cell r="P26">
            <v>912006.76500000001</v>
          </cell>
          <cell r="Q26">
            <v>923881.20900000003</v>
          </cell>
          <cell r="R26">
            <v>935771.99300000002</v>
          </cell>
          <cell r="S26">
            <v>947532.89399999997</v>
          </cell>
          <cell r="T26">
            <v>958978.20799999998</v>
          </cell>
          <cell r="U26">
            <v>969981.5</v>
          </cell>
          <cell r="V26">
            <v>980469.22499999998</v>
          </cell>
          <cell r="W26">
            <v>990489.05599999998</v>
          </cell>
          <cell r="X26">
            <v>1000187.235</v>
          </cell>
          <cell r="Y26">
            <v>1009779.4350000001</v>
          </cell>
          <cell r="Z26">
            <v>1019422.062</v>
          </cell>
          <cell r="AA26">
            <v>1029167.3860000001</v>
          </cell>
          <cell r="AB26">
            <v>1038968.895</v>
          </cell>
          <cell r="AC26">
            <v>1048765.96</v>
          </cell>
          <cell r="AD26">
            <v>1058458.8119999999</v>
          </cell>
          <cell r="AE26">
            <v>1067978.044</v>
          </cell>
          <cell r="AF26">
            <v>1077312.243</v>
          </cell>
          <cell r="AG26">
            <v>1086499.061</v>
          </cell>
          <cell r="AH26">
            <v>1095575.96</v>
          </cell>
          <cell r="AI26">
            <v>1104597.791</v>
          </cell>
          <cell r="AJ26">
            <v>1113605.4839999999</v>
          </cell>
          <cell r="AK26">
            <v>1122604.567</v>
          </cell>
          <cell r="AL26">
            <v>1131585.368</v>
          </cell>
          <cell r="AM26">
            <v>1140554.561</v>
          </cell>
          <cell r="AN26">
            <v>1149516.5220000001</v>
          </cell>
          <cell r="AO26">
            <v>1158470.5049999999</v>
          </cell>
          <cell r="AP26">
            <v>1167419.5209999999</v>
          </cell>
          <cell r="AQ26">
            <v>1176352.9310000001</v>
          </cell>
          <cell r="AR26">
            <v>1185238.0290000001</v>
          </cell>
          <cell r="AS26">
            <v>1194031.22</v>
          </cell>
          <cell r="AT26">
            <v>1202697.827</v>
          </cell>
          <cell r="AU26">
            <v>1211240.166</v>
          </cell>
          <cell r="AV26">
            <v>1219659.0279999999</v>
          </cell>
          <cell r="AW26">
            <v>1227918.608</v>
          </cell>
          <cell r="AX26">
            <v>1235975.5349999999</v>
          </cell>
          <cell r="AY26">
            <v>1243807.503</v>
          </cell>
          <cell r="AZ26">
            <v>1251412.895</v>
          </cell>
          <cell r="BA26">
            <v>1258827.9820000001</v>
          </cell>
          <cell r="BB26">
            <v>1266118.8810000001</v>
          </cell>
          <cell r="BC26">
            <v>1273374.7720000001</v>
          </cell>
          <cell r="BD26">
            <v>1280673.3130000001</v>
          </cell>
          <cell r="BE26">
            <v>1287991.97</v>
          </cell>
          <cell r="BF26">
            <v>1295345.6359999999</v>
          </cell>
          <cell r="BG26">
            <v>1302888.8319999999</v>
          </cell>
          <cell r="BH26">
            <v>1310818.2239999999</v>
          </cell>
          <cell r="BI26">
            <v>1319249.416</v>
          </cell>
          <cell r="BJ26">
            <v>1328265.888</v>
          </cell>
          <cell r="BK26">
            <v>1337760.8689999999</v>
          </cell>
          <cell r="BL26">
            <v>1347423.0919999999</v>
          </cell>
          <cell r="BM26">
            <v>1356821.675</v>
          </cell>
          <cell r="BN26">
            <v>1365642.7379999999</v>
          </cell>
          <cell r="BO26">
            <v>1373768.6459999999</v>
          </cell>
          <cell r="BP26">
            <v>1381273.74</v>
          </cell>
          <cell r="BQ26">
            <v>1388271.898</v>
          </cell>
          <cell r="BR26">
            <v>1394958.9240000001</v>
          </cell>
          <cell r="BS26">
            <v>1401479.077</v>
          </cell>
        </row>
        <row r="27">
          <cell r="E27">
            <v>1517</v>
          </cell>
          <cell r="F27">
            <v>1593830.324</v>
          </cell>
          <cell r="G27">
            <v>1628935.8640000001</v>
          </cell>
          <cell r="H27">
            <v>1662526.452</v>
          </cell>
          <cell r="I27">
            <v>1695455.9350000001</v>
          </cell>
          <cell r="J27">
            <v>1728428.6410000001</v>
          </cell>
          <cell r="K27">
            <v>1761999.422</v>
          </cell>
          <cell r="L27">
            <v>1796567.953</v>
          </cell>
          <cell r="M27">
            <v>1832384.409</v>
          </cell>
          <cell r="N27">
            <v>1869566.412</v>
          </cell>
          <cell r="O27">
            <v>1908127.321</v>
          </cell>
          <cell r="P27">
            <v>1948061.0530000001</v>
          </cell>
          <cell r="Q27">
            <v>1989432.5009999999</v>
          </cell>
          <cell r="R27">
            <v>2032456.757</v>
          </cell>
          <cell r="S27">
            <v>2077533.0090000001</v>
          </cell>
          <cell r="T27">
            <v>2125148.3939999999</v>
          </cell>
          <cell r="U27">
            <v>2175595.35</v>
          </cell>
          <cell r="V27">
            <v>2229031.159</v>
          </cell>
          <cell r="W27">
            <v>2285208.6630000002</v>
          </cell>
          <cell r="X27">
            <v>2343498.1869999999</v>
          </cell>
          <cell r="Y27">
            <v>2403019.9530000002</v>
          </cell>
          <cell r="Z27">
            <v>2463089.58</v>
          </cell>
          <cell r="AA27">
            <v>2523551.6809999999</v>
          </cell>
          <cell r="AB27">
            <v>2584444.2149999999</v>
          </cell>
          <cell r="AC27">
            <v>2645520.62</v>
          </cell>
          <cell r="AD27">
            <v>2706547.702</v>
          </cell>
          <cell r="AE27">
            <v>2767395.4789999998</v>
          </cell>
          <cell r="AF27">
            <v>2827906.7579999999</v>
          </cell>
          <cell r="AG27">
            <v>2888180.7459999998</v>
          </cell>
          <cell r="AH27">
            <v>2948681.6269999999</v>
          </cell>
          <cell r="AI27">
            <v>3010064.5010000002</v>
          </cell>
          <cell r="AJ27">
            <v>3072827.5890000002</v>
          </cell>
          <cell r="AK27">
            <v>3136939.662</v>
          </cell>
          <cell r="AL27">
            <v>3202301.486</v>
          </cell>
          <cell r="AM27">
            <v>3269235.3</v>
          </cell>
          <cell r="AN27">
            <v>3338119.1660000002</v>
          </cell>
          <cell r="AO27">
            <v>3409109.1379999998</v>
          </cell>
          <cell r="AP27">
            <v>3482386.2239999999</v>
          </cell>
          <cell r="AQ27">
            <v>3557556.8560000001</v>
          </cell>
          <cell r="AR27">
            <v>3633479.014</v>
          </cell>
          <cell r="AS27">
            <v>3708615.7689999999</v>
          </cell>
          <cell r="AT27">
            <v>3781821.7689999999</v>
          </cell>
          <cell r="AU27">
            <v>3852696.3360000001</v>
          </cell>
          <cell r="AV27">
            <v>3921410.338</v>
          </cell>
          <cell r="AW27">
            <v>3988107.0440000002</v>
          </cell>
          <cell r="AX27">
            <v>4053148.6120000002</v>
          </cell>
          <cell r="AY27">
            <v>4116837.5219999999</v>
          </cell>
          <cell r="AZ27">
            <v>4179138.0729999999</v>
          </cell>
          <cell r="BA27">
            <v>4240010.6129999999</v>
          </cell>
          <cell r="BB27">
            <v>4299782.875</v>
          </cell>
          <cell r="BC27">
            <v>4358880.8049999997</v>
          </cell>
          <cell r="BD27">
            <v>4417642.8370000003</v>
          </cell>
          <cell r="BE27">
            <v>4476238.1370000001</v>
          </cell>
          <cell r="BF27">
            <v>4534704.7340000002</v>
          </cell>
          <cell r="BG27">
            <v>4593089.199</v>
          </cell>
          <cell r="BH27">
            <v>4651390.432</v>
          </cell>
          <cell r="BI27">
            <v>4709628.2709999997</v>
          </cell>
          <cell r="BJ27">
            <v>4767807.307</v>
          </cell>
          <cell r="BK27">
            <v>4826020.9050000003</v>
          </cell>
          <cell r="BL27">
            <v>4884468.3789999997</v>
          </cell>
          <cell r="BM27">
            <v>4943397.1169999996</v>
          </cell>
          <cell r="BN27">
            <v>5002954.1660000002</v>
          </cell>
          <cell r="BO27">
            <v>5063197.5559999999</v>
          </cell>
          <cell r="BP27">
            <v>5123990.4249999998</v>
          </cell>
          <cell r="BQ27">
            <v>5185033.2089999998</v>
          </cell>
          <cell r="BR27">
            <v>5245909.4970000004</v>
          </cell>
          <cell r="BS27">
            <v>5306282.966</v>
          </cell>
        </row>
        <row r="28">
          <cell r="E28">
            <v>1502</v>
          </cell>
          <cell r="F28">
            <v>824937.31400000001</v>
          </cell>
          <cell r="G28">
            <v>846501.49399999995</v>
          </cell>
          <cell r="H28">
            <v>865620.47499999998</v>
          </cell>
          <cell r="I28">
            <v>883201.75699999998</v>
          </cell>
          <cell r="J28">
            <v>899992.696</v>
          </cell>
          <cell r="K28">
            <v>916580.53500000003</v>
          </cell>
          <cell r="L28">
            <v>933386.19299999997</v>
          </cell>
          <cell r="M28">
            <v>950670.47400000005</v>
          </cell>
          <cell r="N28">
            <v>968552.53200000001</v>
          </cell>
          <cell r="O28">
            <v>987040.75899999996</v>
          </cell>
          <cell r="P28">
            <v>1006125.291</v>
          </cell>
          <cell r="Q28">
            <v>1025876.711</v>
          </cell>
          <cell r="R28">
            <v>1046532.438</v>
          </cell>
          <cell r="S28">
            <v>1068533.7080000001</v>
          </cell>
          <cell r="T28">
            <v>1092420.71</v>
          </cell>
          <cell r="U28">
            <v>1118524.1850000001</v>
          </cell>
          <cell r="V28">
            <v>1147006.4890000001</v>
          </cell>
          <cell r="W28">
            <v>1177610.3060000001</v>
          </cell>
          <cell r="X28">
            <v>1209707.3370000001</v>
          </cell>
          <cell r="Y28">
            <v>1242414.4569999999</v>
          </cell>
          <cell r="Z28">
            <v>1275035.4939999999</v>
          </cell>
          <cell r="AA28">
            <v>1307419.23</v>
          </cell>
          <cell r="AB28">
            <v>1339578.196</v>
          </cell>
          <cell r="AC28">
            <v>1371186.53</v>
          </cell>
          <cell r="AD28">
            <v>1401907.7220000001</v>
          </cell>
          <cell r="AE28">
            <v>1431534.0190000001</v>
          </cell>
          <cell r="AF28">
            <v>1459906.175</v>
          </cell>
          <cell r="AG28">
            <v>1487136.6240000001</v>
          </cell>
          <cell r="AH28">
            <v>1513651.37</v>
          </cell>
          <cell r="AI28">
            <v>1540064.4539999999</v>
          </cell>
          <cell r="AJ28">
            <v>1566864.1980000001</v>
          </cell>
          <cell r="AK28">
            <v>1594022.5149999999</v>
          </cell>
          <cell r="AL28">
            <v>1621508.149</v>
          </cell>
          <cell r="AM28">
            <v>1649784.7960000001</v>
          </cell>
          <cell r="AN28">
            <v>1679416.61</v>
          </cell>
          <cell r="AO28">
            <v>1710716.6640000001</v>
          </cell>
          <cell r="AP28">
            <v>1743933.6040000001</v>
          </cell>
          <cell r="AQ28">
            <v>1778716.6769999999</v>
          </cell>
          <cell r="AR28">
            <v>1814026.2960000001</v>
          </cell>
          <cell r="AS28">
            <v>1848432.1470000001</v>
          </cell>
          <cell r="AT28">
            <v>1880875.4879999999</v>
          </cell>
          <cell r="AU28">
            <v>1911017.2879999999</v>
          </cell>
          <cell r="AV28">
            <v>1939059.848</v>
          </cell>
          <cell r="AW28">
            <v>1965159.9450000001</v>
          </cell>
          <cell r="AX28">
            <v>1989674.7890000001</v>
          </cell>
          <cell r="AY28">
            <v>2012903.0830000001</v>
          </cell>
          <cell r="AZ28">
            <v>2034821.0630000001</v>
          </cell>
          <cell r="BA28">
            <v>2055402.19</v>
          </cell>
          <cell r="BB28">
            <v>2074967.7009999999</v>
          </cell>
          <cell r="BC28">
            <v>2093930.2749999999</v>
          </cell>
          <cell r="BD28">
            <v>2112611.9900000002</v>
          </cell>
          <cell r="BE28">
            <v>2131179.7119999998</v>
          </cell>
          <cell r="BF28">
            <v>2149654.8020000001</v>
          </cell>
          <cell r="BG28">
            <v>2168033.9389999998</v>
          </cell>
          <cell r="BH28">
            <v>2186252.432</v>
          </cell>
          <cell r="BI28">
            <v>2204280.3429999999</v>
          </cell>
          <cell r="BJ28">
            <v>2222097.06</v>
          </cell>
          <cell r="BK28">
            <v>2239792.051</v>
          </cell>
          <cell r="BL28">
            <v>2257562.699</v>
          </cell>
          <cell r="BM28">
            <v>2275663.216</v>
          </cell>
          <cell r="BN28">
            <v>2294243.5950000002</v>
          </cell>
          <cell r="BO28">
            <v>2313381.3470000001</v>
          </cell>
          <cell r="BP28">
            <v>2332932.0639999998</v>
          </cell>
          <cell r="BQ28">
            <v>2352544.2250000001</v>
          </cell>
          <cell r="BR28">
            <v>2371731.9640000002</v>
          </cell>
          <cell r="BS28">
            <v>2390124.7059999998</v>
          </cell>
        </row>
        <row r="29">
          <cell r="E29">
            <v>1501</v>
          </cell>
          <cell r="F29">
            <v>768893.01</v>
          </cell>
          <cell r="G29">
            <v>782434.37</v>
          </cell>
          <cell r="H29">
            <v>796905.97699999996</v>
          </cell>
          <cell r="I29">
            <v>812254.17799999996</v>
          </cell>
          <cell r="J29">
            <v>828435.94499999995</v>
          </cell>
          <cell r="K29">
            <v>845418.88699999999</v>
          </cell>
          <cell r="L29">
            <v>863181.76</v>
          </cell>
          <cell r="M29">
            <v>881713.93500000006</v>
          </cell>
          <cell r="N29">
            <v>901013.88</v>
          </cell>
          <cell r="O29">
            <v>921086.56200000003</v>
          </cell>
          <cell r="P29">
            <v>941935.76199999999</v>
          </cell>
          <cell r="Q29">
            <v>963555.79</v>
          </cell>
          <cell r="R29">
            <v>985924.31900000002</v>
          </cell>
          <cell r="S29">
            <v>1008999.301</v>
          </cell>
          <cell r="T29">
            <v>1032727.684</v>
          </cell>
          <cell r="U29">
            <v>1057071.165</v>
          </cell>
          <cell r="V29">
            <v>1082024.67</v>
          </cell>
          <cell r="W29">
            <v>1107598.3570000001</v>
          </cell>
          <cell r="X29">
            <v>1133790.8500000001</v>
          </cell>
          <cell r="Y29">
            <v>1160605.496</v>
          </cell>
          <cell r="Z29">
            <v>1188054.0859999999</v>
          </cell>
          <cell r="AA29">
            <v>1216132.4509999999</v>
          </cell>
          <cell r="AB29">
            <v>1244866.0190000001</v>
          </cell>
          <cell r="AC29">
            <v>1274334.0900000001</v>
          </cell>
          <cell r="AD29">
            <v>1304639.98</v>
          </cell>
          <cell r="AE29">
            <v>1335861.46</v>
          </cell>
          <cell r="AF29">
            <v>1368000.5830000001</v>
          </cell>
          <cell r="AG29">
            <v>1401044.122</v>
          </cell>
          <cell r="AH29">
            <v>1435030.257</v>
          </cell>
          <cell r="AI29">
            <v>1470000.047</v>
          </cell>
          <cell r="AJ29">
            <v>1505963.3910000001</v>
          </cell>
          <cell r="AK29">
            <v>1542917.1470000001</v>
          </cell>
          <cell r="AL29">
            <v>1580793.3370000001</v>
          </cell>
          <cell r="AM29">
            <v>1619450.504</v>
          </cell>
          <cell r="AN29">
            <v>1658702.5560000001</v>
          </cell>
          <cell r="AO29">
            <v>1698392.4739999999</v>
          </cell>
          <cell r="AP29">
            <v>1738452.62</v>
          </cell>
          <cell r="AQ29">
            <v>1778840.179</v>
          </cell>
          <cell r="AR29">
            <v>1819452.7180000001</v>
          </cell>
          <cell r="AS29">
            <v>1860183.622</v>
          </cell>
          <cell r="AT29">
            <v>1900946.281</v>
          </cell>
          <cell r="AU29">
            <v>1941679.048</v>
          </cell>
          <cell r="AV29">
            <v>1982350.49</v>
          </cell>
          <cell r="AW29">
            <v>2022947.0989999999</v>
          </cell>
          <cell r="AX29">
            <v>2063473.8230000001</v>
          </cell>
          <cell r="AY29">
            <v>2103934.4389999998</v>
          </cell>
          <cell r="AZ29">
            <v>2144317.0099999998</v>
          </cell>
          <cell r="BA29">
            <v>2184608.423</v>
          </cell>
          <cell r="BB29">
            <v>2224815.1740000001</v>
          </cell>
          <cell r="BC29">
            <v>2264950.5299999998</v>
          </cell>
          <cell r="BD29">
            <v>2305030.8470000001</v>
          </cell>
          <cell r="BE29">
            <v>2345058.4249999998</v>
          </cell>
          <cell r="BF29">
            <v>2385049.932</v>
          </cell>
          <cell r="BG29">
            <v>2425055.2599999998</v>
          </cell>
          <cell r="BH29">
            <v>2465138</v>
          </cell>
          <cell r="BI29">
            <v>2505347.9279999998</v>
          </cell>
          <cell r="BJ29">
            <v>2545710.247</v>
          </cell>
          <cell r="BK29">
            <v>2586228.8539999998</v>
          </cell>
          <cell r="BL29">
            <v>2626905.6800000002</v>
          </cell>
          <cell r="BM29">
            <v>2667733.9010000001</v>
          </cell>
          <cell r="BN29">
            <v>2708710.571</v>
          </cell>
          <cell r="BO29">
            <v>2749816.2089999998</v>
          </cell>
          <cell r="BP29">
            <v>2791058.361</v>
          </cell>
          <cell r="BQ29">
            <v>2832488.9840000002</v>
          </cell>
          <cell r="BR29">
            <v>2874177.5329999998</v>
          </cell>
          <cell r="BS29">
            <v>2916158.26</v>
          </cell>
        </row>
        <row r="30">
          <cell r="E30">
            <v>1500</v>
          </cell>
          <cell r="F30">
            <v>130103.43799999999</v>
          </cell>
          <cell r="G30">
            <v>132018.21599999999</v>
          </cell>
          <cell r="H30">
            <v>134093.42499999999</v>
          </cell>
          <cell r="I30">
            <v>136352.78599999999</v>
          </cell>
          <cell r="J30">
            <v>138809.73199999999</v>
          </cell>
          <cell r="K30">
            <v>141467.429</v>
          </cell>
          <cell r="L30">
            <v>144318.12299999999</v>
          </cell>
          <cell r="M30">
            <v>147343.77600000001</v>
          </cell>
          <cell r="N30">
            <v>150517.94399999999</v>
          </cell>
          <cell r="O30">
            <v>153808.78599999999</v>
          </cell>
          <cell r="P30">
            <v>157188.43299999999</v>
          </cell>
          <cell r="Q30">
            <v>160642.77799999999</v>
          </cell>
          <cell r="R30">
            <v>164180.179</v>
          </cell>
          <cell r="S30">
            <v>167835.12400000001</v>
          </cell>
          <cell r="T30">
            <v>171657.78</v>
          </cell>
          <cell r="U30">
            <v>175683.05600000001</v>
          </cell>
          <cell r="V30">
            <v>179916.91800000001</v>
          </cell>
          <cell r="W30">
            <v>184342.94500000001</v>
          </cell>
          <cell r="X30">
            <v>188945.73699999999</v>
          </cell>
          <cell r="Y30">
            <v>193701.378</v>
          </cell>
          <cell r="Z30">
            <v>198588.59</v>
          </cell>
          <cell r="AA30">
            <v>203612.75</v>
          </cell>
          <cell r="AB30">
            <v>208769.614</v>
          </cell>
          <cell r="AC30">
            <v>214017.092</v>
          </cell>
          <cell r="AD30">
            <v>219301.269</v>
          </cell>
          <cell r="AE30">
            <v>224587.75</v>
          </cell>
          <cell r="AF30">
            <v>229867.68100000001</v>
          </cell>
          <cell r="AG30">
            <v>235165.09299999999</v>
          </cell>
          <cell r="AH30">
            <v>240521.361</v>
          </cell>
          <cell r="AI30">
            <v>245995.52100000001</v>
          </cell>
          <cell r="AJ30">
            <v>251638.36300000001</v>
          </cell>
          <cell r="AK30">
            <v>257466.55900000001</v>
          </cell>
          <cell r="AL30">
            <v>263493.71999999997</v>
          </cell>
          <cell r="AM30">
            <v>269764.91700000002</v>
          </cell>
          <cell r="AN30">
            <v>276331.66499999998</v>
          </cell>
          <cell r="AO30">
            <v>283234.65500000003</v>
          </cell>
          <cell r="AP30">
            <v>290486.40299999999</v>
          </cell>
          <cell r="AQ30">
            <v>298092.14500000002</v>
          </cell>
          <cell r="AR30">
            <v>306072.92499999999</v>
          </cell>
          <cell r="AS30">
            <v>314448.81599999999</v>
          </cell>
          <cell r="AT30">
            <v>323227.228</v>
          </cell>
          <cell r="AU30">
            <v>332433.71500000003</v>
          </cell>
          <cell r="AV30">
            <v>342050.44699999999</v>
          </cell>
          <cell r="AW30">
            <v>351987.72499999998</v>
          </cell>
          <cell r="AX30">
            <v>362123.03499999997</v>
          </cell>
          <cell r="AY30">
            <v>372371.97700000001</v>
          </cell>
          <cell r="AZ30">
            <v>382697.53700000001</v>
          </cell>
          <cell r="BA30">
            <v>393134.571</v>
          </cell>
          <cell r="BB30">
            <v>403759.21799999999</v>
          </cell>
          <cell r="BC30">
            <v>414684.35</v>
          </cell>
          <cell r="BD30">
            <v>425992.69900000002</v>
          </cell>
          <cell r="BE30">
            <v>437714.05499999999</v>
          </cell>
          <cell r="BF30">
            <v>449827.12400000001</v>
          </cell>
          <cell r="BG30">
            <v>462302.98</v>
          </cell>
          <cell r="BH30">
            <v>475092.68099999998</v>
          </cell>
          <cell r="BI30">
            <v>488164.37</v>
          </cell>
          <cell r="BJ30">
            <v>501506.19900000002</v>
          </cell>
          <cell r="BK30">
            <v>515142.538</v>
          </cell>
          <cell r="BL30">
            <v>529119.91500000004</v>
          </cell>
          <cell r="BM30">
            <v>543502.41599999997</v>
          </cell>
          <cell r="BN30">
            <v>558333.17799999996</v>
          </cell>
          <cell r="BO30">
            <v>573629.14599999995</v>
          </cell>
          <cell r="BP30">
            <v>589368.16200000001</v>
          </cell>
          <cell r="BQ30">
            <v>605505.799</v>
          </cell>
          <cell r="BR30">
            <v>621977.59400000004</v>
          </cell>
          <cell r="BS30">
            <v>638734.91399999999</v>
          </cell>
        </row>
        <row r="31">
          <cell r="E31">
            <v>947</v>
          </cell>
          <cell r="F31">
            <v>179679.84700000001</v>
          </cell>
          <cell r="G31">
            <v>183054.65100000001</v>
          </cell>
          <cell r="H31">
            <v>186597.92600000001</v>
          </cell>
          <cell r="I31">
            <v>190308.462</v>
          </cell>
          <cell r="J31">
            <v>194186.60399999999</v>
          </cell>
          <cell r="K31">
            <v>198234.31299999999</v>
          </cell>
          <cell r="L31">
            <v>202455.15400000001</v>
          </cell>
          <cell r="M31">
            <v>206854.28400000001</v>
          </cell>
          <cell r="N31">
            <v>211438.217</v>
          </cell>
          <cell r="O31">
            <v>216214.421</v>
          </cell>
          <cell r="P31">
            <v>221190.27499999999</v>
          </cell>
          <cell r="Q31">
            <v>226371.84400000001</v>
          </cell>
          <cell r="R31">
            <v>231762.878</v>
          </cell>
          <cell r="S31">
            <v>237364.351</v>
          </cell>
          <cell r="T31">
            <v>243175.72399999999</v>
          </cell>
          <cell r="U31">
            <v>249198.614</v>
          </cell>
          <cell r="V31">
            <v>255438.71100000001</v>
          </cell>
          <cell r="W31">
            <v>261904.50700000001</v>
          </cell>
          <cell r="X31">
            <v>268604.21500000003</v>
          </cell>
          <cell r="Y31">
            <v>275547.24699999997</v>
          </cell>
          <cell r="Z31">
            <v>282743.38</v>
          </cell>
          <cell r="AA31">
            <v>290196.56599999999</v>
          </cell>
          <cell r="AB31">
            <v>297915.45500000002</v>
          </cell>
          <cell r="AC31">
            <v>305920.10100000002</v>
          </cell>
          <cell r="AD31">
            <v>314234.71600000001</v>
          </cell>
          <cell r="AE31">
            <v>322877.27799999999</v>
          </cell>
          <cell r="AF31">
            <v>331859.71399999998</v>
          </cell>
          <cell r="AG31">
            <v>341181.44500000001</v>
          </cell>
          <cell r="AH31">
            <v>350832.234</v>
          </cell>
          <cell r="AI31">
            <v>360794.78</v>
          </cell>
          <cell r="AJ31">
            <v>371057.54399999999</v>
          </cell>
          <cell r="AK31">
            <v>381615.04</v>
          </cell>
          <cell r="AL31">
            <v>392474.79499999998</v>
          </cell>
          <cell r="AM31">
            <v>403653.24699999997</v>
          </cell>
          <cell r="AN31">
            <v>415173.24800000002</v>
          </cell>
          <cell r="AO31">
            <v>427049.32699999999</v>
          </cell>
          <cell r="AP31">
            <v>439289.52500000002</v>
          </cell>
          <cell r="AQ31">
            <v>451883.61800000002</v>
          </cell>
          <cell r="AR31">
            <v>464805.56199999998</v>
          </cell>
          <cell r="AS31">
            <v>478018.91399999999</v>
          </cell>
          <cell r="AT31">
            <v>491497.69099999999</v>
          </cell>
          <cell r="AU31">
            <v>505243.67300000001</v>
          </cell>
          <cell r="AV31">
            <v>519267.71100000001</v>
          </cell>
          <cell r="AW31">
            <v>533565.64</v>
          </cell>
          <cell r="AX31">
            <v>548134.18500000006</v>
          </cell>
          <cell r="AY31">
            <v>562978.22400000005</v>
          </cell>
          <cell r="AZ31">
            <v>578105.12399999995</v>
          </cell>
          <cell r="BA31">
            <v>593539.04700000002</v>
          </cell>
          <cell r="BB31">
            <v>609324.74399999995</v>
          </cell>
          <cell r="BC31">
            <v>625519.15899999999</v>
          </cell>
          <cell r="BD31">
            <v>642172.29799999995</v>
          </cell>
          <cell r="BE31">
            <v>659302.005</v>
          </cell>
          <cell r="BF31">
            <v>676927.64899999998</v>
          </cell>
          <cell r="BG31">
            <v>695101.929</v>
          </cell>
          <cell r="BH31">
            <v>713885.20600000001</v>
          </cell>
          <cell r="BI31">
            <v>733321.65899999999</v>
          </cell>
          <cell r="BJ31">
            <v>753431.48600000003</v>
          </cell>
          <cell r="BK31">
            <v>774210.91599999997</v>
          </cell>
          <cell r="BL31">
            <v>795647.304</v>
          </cell>
          <cell r="BM31">
            <v>817715.16599999997</v>
          </cell>
          <cell r="BN31">
            <v>840390.12899999996</v>
          </cell>
          <cell r="BO31">
            <v>863672.59</v>
          </cell>
          <cell r="BP31">
            <v>887553.76</v>
          </cell>
          <cell r="BQ31">
            <v>911987.06499999994</v>
          </cell>
          <cell r="BR31">
            <v>936913.098</v>
          </cell>
          <cell r="BS31">
            <v>962286.75399999996</v>
          </cell>
        </row>
        <row r="32">
          <cell r="E32">
            <v>903</v>
          </cell>
          <cell r="F32">
            <v>228901.723</v>
          </cell>
          <cell r="G32">
            <v>233449.41500000001</v>
          </cell>
          <cell r="H32">
            <v>238230.63500000001</v>
          </cell>
          <cell r="I32">
            <v>243243.666</v>
          </cell>
          <cell r="J32">
            <v>248487.75599999999</v>
          </cell>
          <cell r="K32">
            <v>253963.19899999999</v>
          </cell>
          <cell r="L32">
            <v>259671.27100000001</v>
          </cell>
          <cell r="M32">
            <v>265614.26199999999</v>
          </cell>
          <cell r="N32">
            <v>271795.34600000002</v>
          </cell>
          <cell r="O32">
            <v>278218.33199999999</v>
          </cell>
          <cell r="P32">
            <v>284887.14799999999</v>
          </cell>
          <cell r="Q32">
            <v>291805.14600000001</v>
          </cell>
          <cell r="R32">
            <v>298974.59000000003</v>
          </cell>
          <cell r="S32">
            <v>306396.37599999999</v>
          </cell>
          <cell r="T32">
            <v>314070.74900000001</v>
          </cell>
          <cell r="U32">
            <v>321999.24200000003</v>
          </cell>
          <cell r="V32">
            <v>330192.05800000002</v>
          </cell>
          <cell r="W32">
            <v>338656.136</v>
          </cell>
          <cell r="X32">
            <v>347386.94199999998</v>
          </cell>
          <cell r="Y32">
            <v>356376.75</v>
          </cell>
          <cell r="Z32">
            <v>365625.902</v>
          </cell>
          <cell r="AA32">
            <v>375133.69099999999</v>
          </cell>
          <cell r="AB32">
            <v>384921.06300000002</v>
          </cell>
          <cell r="AC32">
            <v>395036.77500000002</v>
          </cell>
          <cell r="AD32">
            <v>405544.038</v>
          </cell>
          <cell r="AE32">
            <v>416490.40500000003</v>
          </cell>
          <cell r="AF32">
            <v>427894.71600000001</v>
          </cell>
          <cell r="AG32">
            <v>439752.75099999999</v>
          </cell>
          <cell r="AH32">
            <v>452059.63799999998</v>
          </cell>
          <cell r="AI32">
            <v>464801.08600000001</v>
          </cell>
          <cell r="AJ32">
            <v>477965.12900000002</v>
          </cell>
          <cell r="AK32">
            <v>491549.11300000001</v>
          </cell>
          <cell r="AL32">
            <v>505554.09899999999</v>
          </cell>
          <cell r="AM32">
            <v>519974.114</v>
          </cell>
          <cell r="AN32">
            <v>534801.86800000002</v>
          </cell>
          <cell r="AO32">
            <v>550027.72600000002</v>
          </cell>
          <cell r="AP32">
            <v>565642.26100000006</v>
          </cell>
          <cell r="AQ32">
            <v>581631.16099999996</v>
          </cell>
          <cell r="AR32">
            <v>597972.85499999998</v>
          </cell>
          <cell r="AS32">
            <v>614641.78899999999</v>
          </cell>
          <cell r="AT32">
            <v>631614.304</v>
          </cell>
          <cell r="AU32">
            <v>648899.76699999999</v>
          </cell>
          <cell r="AV32">
            <v>666488.66799999995</v>
          </cell>
          <cell r="AW32">
            <v>684318.63899999997</v>
          </cell>
          <cell r="AX32">
            <v>702310.01199999999</v>
          </cell>
          <cell r="AY32">
            <v>720416.38600000006</v>
          </cell>
          <cell r="AZ32">
            <v>738623.10100000002</v>
          </cell>
          <cell r="BA32">
            <v>756979.22400000005</v>
          </cell>
          <cell r="BB32">
            <v>775584.22499999998</v>
          </cell>
          <cell r="BC32">
            <v>794575.02399999998</v>
          </cell>
          <cell r="BD32">
            <v>814063.14899999998</v>
          </cell>
          <cell r="BE32">
            <v>834088.70700000005</v>
          </cell>
          <cell r="BF32">
            <v>854665.83900000004</v>
          </cell>
          <cell r="BG32">
            <v>875849.04599999997</v>
          </cell>
          <cell r="BH32">
            <v>897692.4</v>
          </cell>
          <cell r="BI32">
            <v>920238.94499999995</v>
          </cell>
          <cell r="BJ32">
            <v>943507.84499999997</v>
          </cell>
          <cell r="BK32">
            <v>967510.99800000002</v>
          </cell>
          <cell r="BL32">
            <v>992269.44700000004</v>
          </cell>
          <cell r="BM32">
            <v>1017800.535</v>
          </cell>
          <cell r="BN32">
            <v>1044106.862</v>
          </cell>
          <cell r="BO32">
            <v>1071200.423</v>
          </cell>
          <cell r="BP32">
            <v>1099053.331</v>
          </cell>
          <cell r="BQ32">
            <v>1127576.121</v>
          </cell>
          <cell r="BR32">
            <v>1156648.7509999999</v>
          </cell>
          <cell r="BS32">
            <v>1186178.2819999999</v>
          </cell>
        </row>
        <row r="33">
          <cell r="E33">
            <v>910</v>
          </cell>
          <cell r="F33">
            <v>66922.702000000005</v>
          </cell>
          <cell r="G33">
            <v>68373.747000000003</v>
          </cell>
          <cell r="H33">
            <v>69874.732999999993</v>
          </cell>
          <cell r="I33">
            <v>71431.547999999995</v>
          </cell>
          <cell r="J33">
            <v>73049.672999999995</v>
          </cell>
          <cell r="K33">
            <v>74734.226999999999</v>
          </cell>
          <cell r="L33">
            <v>76489.922999999995</v>
          </cell>
          <cell r="M33">
            <v>78321.100000000006</v>
          </cell>
          <cell r="N33">
            <v>80231.721000000005</v>
          </cell>
          <cell r="O33">
            <v>82225.394</v>
          </cell>
          <cell r="P33">
            <v>84305.445999999996</v>
          </cell>
          <cell r="Q33">
            <v>86474.99</v>
          </cell>
          <cell r="R33">
            <v>88736.99</v>
          </cell>
          <cell r="S33">
            <v>91094.271999999997</v>
          </cell>
          <cell r="T33">
            <v>93549.475000000006</v>
          </cell>
          <cell r="U33">
            <v>96104.801999999996</v>
          </cell>
          <cell r="V33">
            <v>98763.96</v>
          </cell>
          <cell r="W33">
            <v>101528.61500000001</v>
          </cell>
          <cell r="X33">
            <v>104396.485</v>
          </cell>
          <cell r="Y33">
            <v>107363.656</v>
          </cell>
          <cell r="Z33">
            <v>110428.367</v>
          </cell>
          <cell r="AA33">
            <v>113589.88099999999</v>
          </cell>
          <cell r="AB33">
            <v>116852.696</v>
          </cell>
          <cell r="AC33">
            <v>120226.63499999999</v>
          </cell>
          <cell r="AD33">
            <v>123724.622</v>
          </cell>
          <cell r="AE33">
            <v>127356.094</v>
          </cell>
          <cell r="AF33">
            <v>131128.495</v>
          </cell>
          <cell r="AG33">
            <v>135040.77299999999</v>
          </cell>
          <cell r="AH33">
            <v>139083.78700000001</v>
          </cell>
          <cell r="AI33">
            <v>143243.503</v>
          </cell>
          <cell r="AJ33">
            <v>147511.68299999999</v>
          </cell>
          <cell r="AK33">
            <v>151873.174</v>
          </cell>
          <cell r="AL33">
            <v>156334.617</v>
          </cell>
          <cell r="AM33">
            <v>160934.46299999999</v>
          </cell>
          <cell r="AN33">
            <v>165725.576</v>
          </cell>
          <cell r="AO33">
            <v>170739.16500000001</v>
          </cell>
          <cell r="AP33">
            <v>176010.12</v>
          </cell>
          <cell r="AQ33">
            <v>181511.06899999999</v>
          </cell>
          <cell r="AR33">
            <v>187136.774</v>
          </cell>
          <cell r="AS33">
            <v>192742.084</v>
          </cell>
          <cell r="AT33">
            <v>198231.68700000001</v>
          </cell>
          <cell r="AU33">
            <v>203557.462</v>
          </cell>
          <cell r="AV33">
            <v>208775.07</v>
          </cell>
          <cell r="AW33">
            <v>214020.11499999999</v>
          </cell>
          <cell r="AX33">
            <v>219485.38099999999</v>
          </cell>
          <cell r="AY33">
            <v>225309.503</v>
          </cell>
          <cell r="AZ33">
            <v>231547.883</v>
          </cell>
          <cell r="BA33">
            <v>238160.09099999999</v>
          </cell>
          <cell r="BB33">
            <v>245073.02900000001</v>
          </cell>
          <cell r="BC33">
            <v>252170.747</v>
          </cell>
          <cell r="BD33">
            <v>259372.541</v>
          </cell>
          <cell r="BE33">
            <v>266660.50699999998</v>
          </cell>
          <cell r="BF33">
            <v>274075.58299999998</v>
          </cell>
          <cell r="BG33">
            <v>281665.83500000002</v>
          </cell>
          <cell r="BH33">
            <v>289502.06900000002</v>
          </cell>
          <cell r="BI33">
            <v>297636.467</v>
          </cell>
          <cell r="BJ33">
            <v>306080.42300000001</v>
          </cell>
          <cell r="BK33">
            <v>314819.98</v>
          </cell>
          <cell r="BL33">
            <v>323851.02899999998</v>
          </cell>
          <cell r="BM33">
            <v>333162.13</v>
          </cell>
          <cell r="BN33">
            <v>342742.625</v>
          </cell>
          <cell r="BO33">
            <v>352593.266</v>
          </cell>
          <cell r="BP33">
            <v>362712.00699999998</v>
          </cell>
          <cell r="BQ33">
            <v>373080.59</v>
          </cell>
          <cell r="BR33">
            <v>383675.36</v>
          </cell>
          <cell r="BS33">
            <v>394477.33899999998</v>
          </cell>
        </row>
        <row r="34">
          <cell r="E34">
            <v>108</v>
          </cell>
          <cell r="F34">
            <v>2308.9229999999998</v>
          </cell>
          <cell r="G34">
            <v>2359.2339999999999</v>
          </cell>
          <cell r="H34">
            <v>2403.777</v>
          </cell>
          <cell r="I34">
            <v>2445.8359999999998</v>
          </cell>
          <cell r="J34">
            <v>2487.9290000000001</v>
          </cell>
          <cell r="K34">
            <v>2531.8000000000002</v>
          </cell>
          <cell r="L34">
            <v>2578.393</v>
          </cell>
          <cell r="M34">
            <v>2627.88</v>
          </cell>
          <cell r="N34">
            <v>2679.7649999999999</v>
          </cell>
          <cell r="O34">
            <v>2733.05</v>
          </cell>
          <cell r="P34">
            <v>2786.74</v>
          </cell>
          <cell r="Q34">
            <v>2840.375</v>
          </cell>
          <cell r="R34">
            <v>2894.51</v>
          </cell>
          <cell r="S34">
            <v>2950.9029999999998</v>
          </cell>
          <cell r="T34">
            <v>3011.9569999999999</v>
          </cell>
          <cell r="U34">
            <v>3079.0340000000001</v>
          </cell>
          <cell r="V34">
            <v>3153.8789999999999</v>
          </cell>
          <cell r="W34">
            <v>3235.125</v>
          </cell>
          <cell r="X34">
            <v>3317.3150000000001</v>
          </cell>
          <cell r="Y34">
            <v>3392.9490000000001</v>
          </cell>
          <cell r="Z34">
            <v>3457.1129999999998</v>
          </cell>
          <cell r="AA34">
            <v>3507.5929999999998</v>
          </cell>
          <cell r="AB34">
            <v>3547.335</v>
          </cell>
          <cell r="AC34">
            <v>3582.9520000000002</v>
          </cell>
          <cell r="AD34">
            <v>3623.8530000000001</v>
          </cell>
          <cell r="AE34">
            <v>3676.991</v>
          </cell>
          <cell r="AF34">
            <v>3744.6959999999999</v>
          </cell>
          <cell r="AG34">
            <v>3825.4839999999999</v>
          </cell>
          <cell r="AH34">
            <v>3917.866</v>
          </cell>
          <cell r="AI34">
            <v>4018.9270000000001</v>
          </cell>
          <cell r="AJ34">
            <v>4126.5439999999999</v>
          </cell>
          <cell r="AK34">
            <v>4239.6729999999998</v>
          </cell>
          <cell r="AL34">
            <v>4359.1220000000003</v>
          </cell>
          <cell r="AM34">
            <v>4486.6130000000003</v>
          </cell>
          <cell r="AN34">
            <v>4624.6170000000002</v>
          </cell>
          <cell r="AO34">
            <v>4774.2579999999998</v>
          </cell>
          <cell r="AP34">
            <v>4936.4290000000001</v>
          </cell>
          <cell r="AQ34">
            <v>5108.5810000000001</v>
          </cell>
          <cell r="AR34">
            <v>5284.1729999999998</v>
          </cell>
          <cell r="AS34">
            <v>5454.4750000000004</v>
          </cell>
          <cell r="AT34">
            <v>5613.1409999999996</v>
          </cell>
          <cell r="AU34">
            <v>5759.4290000000001</v>
          </cell>
          <cell r="AV34">
            <v>5895.1310000000003</v>
          </cell>
          <cell r="AW34">
            <v>6019.9009999999998</v>
          </cell>
          <cell r="AX34">
            <v>6134.0410000000002</v>
          </cell>
          <cell r="AY34">
            <v>6239.03</v>
          </cell>
          <cell r="AZ34">
            <v>6333.415</v>
          </cell>
          <cell r="BA34">
            <v>6420.3969999999999</v>
          </cell>
          <cell r="BB34">
            <v>6511.92</v>
          </cell>
          <cell r="BC34">
            <v>6623.7070000000003</v>
          </cell>
          <cell r="BD34">
            <v>6767.0730000000003</v>
          </cell>
          <cell r="BE34">
            <v>6946.72</v>
          </cell>
          <cell r="BF34">
            <v>7159.9179999999997</v>
          </cell>
          <cell r="BG34">
            <v>7401.2150000000001</v>
          </cell>
          <cell r="BH34">
            <v>7661.6130000000003</v>
          </cell>
          <cell r="BI34">
            <v>7934.2129999999997</v>
          </cell>
          <cell r="BJ34">
            <v>8218.07</v>
          </cell>
          <cell r="BK34">
            <v>8514.5779999999995</v>
          </cell>
          <cell r="BL34">
            <v>8821.7950000000001</v>
          </cell>
          <cell r="BM34">
            <v>9137.7860000000001</v>
          </cell>
          <cell r="BN34">
            <v>9461.1170000000002</v>
          </cell>
          <cell r="BO34">
            <v>9790.1509999999998</v>
          </cell>
          <cell r="BP34">
            <v>10124.572</v>
          </cell>
          <cell r="BQ34">
            <v>10465.959000000001</v>
          </cell>
          <cell r="BR34">
            <v>10816.86</v>
          </cell>
          <cell r="BS34">
            <v>11178.921</v>
          </cell>
        </row>
        <row r="35">
          <cell r="E35">
            <v>174</v>
          </cell>
          <cell r="F35">
            <v>156.334</v>
          </cell>
          <cell r="G35">
            <v>160.083</v>
          </cell>
          <cell r="H35">
            <v>163.553</v>
          </cell>
          <cell r="I35">
            <v>166.839</v>
          </cell>
          <cell r="J35">
            <v>170.01900000000001</v>
          </cell>
          <cell r="K35">
            <v>173.149</v>
          </cell>
          <cell r="L35">
            <v>176.26499999999999</v>
          </cell>
          <cell r="M35">
            <v>179.386</v>
          </cell>
          <cell r="N35">
            <v>182.512</v>
          </cell>
          <cell r="O35">
            <v>185.62899999999999</v>
          </cell>
          <cell r="P35">
            <v>188.732</v>
          </cell>
          <cell r="Q35">
            <v>191.828</v>
          </cell>
          <cell r="R35">
            <v>194.96</v>
          </cell>
          <cell r="S35">
            <v>198.20500000000001</v>
          </cell>
          <cell r="T35">
            <v>201.66499999999999</v>
          </cell>
          <cell r="U35">
            <v>205.41200000000001</v>
          </cell>
          <cell r="V35">
            <v>209.536</v>
          </cell>
          <cell r="W35">
            <v>214.03800000000001</v>
          </cell>
          <cell r="X35">
            <v>218.79400000000001</v>
          </cell>
          <cell r="Y35">
            <v>223.62899999999999</v>
          </cell>
          <cell r="Z35">
            <v>228.44300000000001</v>
          </cell>
          <cell r="AA35">
            <v>233.125</v>
          </cell>
          <cell r="AB35">
            <v>237.797</v>
          </cell>
          <cell r="AC35">
            <v>242.875</v>
          </cell>
          <cell r="AD35">
            <v>248.92099999999999</v>
          </cell>
          <cell r="AE35">
            <v>256.30900000000003</v>
          </cell>
          <cell r="AF35">
            <v>265.23399999999998</v>
          </cell>
          <cell r="AG35">
            <v>275.49599999999998</v>
          </cell>
          <cell r="AH35">
            <v>286.58300000000003</v>
          </cell>
          <cell r="AI35">
            <v>297.76499999999999</v>
          </cell>
          <cell r="AJ35">
            <v>308.51799999999997</v>
          </cell>
          <cell r="AK35">
            <v>318.65899999999999</v>
          </cell>
          <cell r="AL35">
            <v>328.35500000000002</v>
          </cell>
          <cell r="AM35">
            <v>337.85300000000001</v>
          </cell>
          <cell r="AN35">
            <v>347.548</v>
          </cell>
          <cell r="AO35">
            <v>357.72899999999998</v>
          </cell>
          <cell r="AP35">
            <v>368.44299999999998</v>
          </cell>
          <cell r="AQ35">
            <v>379.589</v>
          </cell>
          <cell r="AR35">
            <v>391.13299999999998</v>
          </cell>
          <cell r="AS35">
            <v>403.00299999999999</v>
          </cell>
          <cell r="AT35">
            <v>415.14400000000001</v>
          </cell>
          <cell r="AU35">
            <v>427.55599999999998</v>
          </cell>
          <cell r="AV35">
            <v>440.25200000000001</v>
          </cell>
          <cell r="AW35">
            <v>453.18799999999999</v>
          </cell>
          <cell r="AX35">
            <v>466.30900000000003</v>
          </cell>
          <cell r="AY35">
            <v>479.57400000000001</v>
          </cell>
          <cell r="AZ35">
            <v>492.97899999999998</v>
          </cell>
          <cell r="BA35">
            <v>506.52499999999998</v>
          </cell>
          <cell r="BB35">
            <v>520.17999999999995</v>
          </cell>
          <cell r="BC35">
            <v>533.90899999999999</v>
          </cell>
          <cell r="BD35">
            <v>547.69600000000003</v>
          </cell>
          <cell r="BE35">
            <v>561.52499999999998</v>
          </cell>
          <cell r="BF35">
            <v>575.428</v>
          </cell>
          <cell r="BG35">
            <v>589.5</v>
          </cell>
          <cell r="BH35">
            <v>603.86900000000003</v>
          </cell>
          <cell r="BI35">
            <v>618.63199999999995</v>
          </cell>
          <cell r="BJ35">
            <v>633.81399999999996</v>
          </cell>
          <cell r="BK35">
            <v>649.404</v>
          </cell>
          <cell r="BL35">
            <v>665.41399999999999</v>
          </cell>
          <cell r="BM35">
            <v>681.84500000000003</v>
          </cell>
          <cell r="BN35">
            <v>698.69500000000005</v>
          </cell>
          <cell r="BO35">
            <v>715.97199999999998</v>
          </cell>
          <cell r="BP35">
            <v>733.66099999999994</v>
          </cell>
          <cell r="BQ35">
            <v>751.697</v>
          </cell>
          <cell r="BR35">
            <v>769.99099999999999</v>
          </cell>
          <cell r="BS35">
            <v>788.47400000000005</v>
          </cell>
        </row>
        <row r="36">
          <cell r="E36">
            <v>262</v>
          </cell>
          <cell r="F36">
            <v>62.000999999999998</v>
          </cell>
          <cell r="G36">
            <v>63.308999999999997</v>
          </cell>
          <cell r="H36">
            <v>64.748000000000005</v>
          </cell>
          <cell r="I36">
            <v>66.272999999999996</v>
          </cell>
          <cell r="J36">
            <v>67.876999999999995</v>
          </cell>
          <cell r="K36">
            <v>69.593999999999994</v>
          </cell>
          <cell r="L36">
            <v>71.498000000000005</v>
          </cell>
          <cell r="M36">
            <v>73.703000000000003</v>
          </cell>
          <cell r="N36">
            <v>76.353999999999999</v>
          </cell>
          <cell r="O36">
            <v>79.617000000000004</v>
          </cell>
          <cell r="P36">
            <v>83.635999999999996</v>
          </cell>
          <cell r="Q36">
            <v>88.498999999999995</v>
          </cell>
          <cell r="R36">
            <v>94.2</v>
          </cell>
          <cell r="S36">
            <v>100.622</v>
          </cell>
          <cell r="T36">
            <v>107.584</v>
          </cell>
          <cell r="U36">
            <v>114.96299999999999</v>
          </cell>
          <cell r="V36">
            <v>122.86799999999999</v>
          </cell>
          <cell r="W36">
            <v>131.40299999999999</v>
          </cell>
          <cell r="X36">
            <v>140.46100000000001</v>
          </cell>
          <cell r="Y36">
            <v>149.89099999999999</v>
          </cell>
          <cell r="Z36">
            <v>159.667</v>
          </cell>
          <cell r="AA36">
            <v>169.37</v>
          </cell>
          <cell r="AB36">
            <v>179.21199999999999</v>
          </cell>
          <cell r="AC36">
            <v>190.536</v>
          </cell>
          <cell r="AD36">
            <v>205.15700000000001</v>
          </cell>
          <cell r="AE36">
            <v>224.18199999999999</v>
          </cell>
          <cell r="AF36">
            <v>248.619</v>
          </cell>
          <cell r="AG36">
            <v>277.62200000000001</v>
          </cell>
          <cell r="AH36">
            <v>308.21300000000002</v>
          </cell>
          <cell r="AI36">
            <v>336.25400000000002</v>
          </cell>
          <cell r="AJ36">
            <v>358.96</v>
          </cell>
          <cell r="AK36">
            <v>374.68299999999999</v>
          </cell>
          <cell r="AL36">
            <v>384.74299999999999</v>
          </cell>
          <cell r="AM36">
            <v>392.90800000000002</v>
          </cell>
          <cell r="AN36">
            <v>404.589</v>
          </cell>
          <cell r="AO36">
            <v>423.47</v>
          </cell>
          <cell r="AP36">
            <v>451.06799999999998</v>
          </cell>
          <cell r="AQ36">
            <v>485.565</v>
          </cell>
          <cell r="AR36">
            <v>523.26599999999996</v>
          </cell>
          <cell r="AS36">
            <v>558.80999999999995</v>
          </cell>
          <cell r="AT36">
            <v>588.35599999999999</v>
          </cell>
          <cell r="AU36">
            <v>610.67899999999997</v>
          </cell>
          <cell r="AV36">
            <v>627.06299999999999</v>
          </cell>
          <cell r="AW36">
            <v>639.21500000000003</v>
          </cell>
          <cell r="AX36">
            <v>649.87800000000004</v>
          </cell>
          <cell r="AY36">
            <v>661.07600000000002</v>
          </cell>
          <cell r="AZ36">
            <v>673.202</v>
          </cell>
          <cell r="BA36">
            <v>685.64400000000001</v>
          </cell>
          <cell r="BB36">
            <v>698.25599999999997</v>
          </cell>
          <cell r="BC36">
            <v>710.65200000000004</v>
          </cell>
          <cell r="BD36">
            <v>722.56200000000001</v>
          </cell>
          <cell r="BE36">
            <v>734.08799999999997</v>
          </cell>
          <cell r="BF36">
            <v>745.45899999999995</v>
          </cell>
          <cell r="BG36">
            <v>756.65599999999995</v>
          </cell>
          <cell r="BH36">
            <v>767.64400000000001</v>
          </cell>
          <cell r="BI36">
            <v>778.40599999999995</v>
          </cell>
          <cell r="BJ36">
            <v>788.94100000000003</v>
          </cell>
          <cell r="BK36">
            <v>799.30899999999997</v>
          </cell>
          <cell r="BL36">
            <v>809.63900000000001</v>
          </cell>
          <cell r="BM36">
            <v>820.09699999999998</v>
          </cell>
          <cell r="BN36">
            <v>830.80200000000002</v>
          </cell>
          <cell r="BO36">
            <v>841.80200000000002</v>
          </cell>
          <cell r="BP36">
            <v>853.06899999999996</v>
          </cell>
          <cell r="BQ36">
            <v>864.55399999999997</v>
          </cell>
          <cell r="BR36">
            <v>876.17399999999998</v>
          </cell>
          <cell r="BS36">
            <v>887.86099999999999</v>
          </cell>
        </row>
        <row r="37">
          <cell r="E37">
            <v>232</v>
          </cell>
          <cell r="F37">
            <v>1142.1500000000001</v>
          </cell>
          <cell r="G37">
            <v>1162.6579999999999</v>
          </cell>
          <cell r="H37">
            <v>1184.694</v>
          </cell>
          <cell r="I37">
            <v>1208.1410000000001</v>
          </cell>
          <cell r="J37">
            <v>1232.905</v>
          </cell>
          <cell r="K37">
            <v>1258.9259999999999</v>
          </cell>
          <cell r="L37">
            <v>1286.171</v>
          </cell>
          <cell r="M37">
            <v>1314.633</v>
          </cell>
          <cell r="N37">
            <v>1344.338</v>
          </cell>
          <cell r="O37">
            <v>1375.3209999999999</v>
          </cell>
          <cell r="P37">
            <v>1407.6310000000001</v>
          </cell>
          <cell r="Q37">
            <v>1441.297</v>
          </cell>
          <cell r="R37">
            <v>1476.3209999999999</v>
          </cell>
          <cell r="S37">
            <v>1512.671</v>
          </cell>
          <cell r="T37">
            <v>1550.297</v>
          </cell>
          <cell r="U37">
            <v>1589.1869999999999</v>
          </cell>
          <cell r="V37">
            <v>1629.3330000000001</v>
          </cell>
          <cell r="W37">
            <v>1670.8209999999999</v>
          </cell>
          <cell r="X37">
            <v>1713.846</v>
          </cell>
          <cell r="Y37">
            <v>1758.6679999999999</v>
          </cell>
          <cell r="Z37">
            <v>1805.48</v>
          </cell>
          <cell r="AA37">
            <v>1854.395</v>
          </cell>
          <cell r="AB37">
            <v>1905.4059999999999</v>
          </cell>
          <cell r="AC37">
            <v>1958.444</v>
          </cell>
          <cell r="AD37">
            <v>2013.3820000000001</v>
          </cell>
          <cell r="AE37">
            <v>2070.145</v>
          </cell>
          <cell r="AF37">
            <v>2128.5970000000002</v>
          </cell>
          <cell r="AG37">
            <v>2188.806</v>
          </cell>
          <cell r="AH37">
            <v>2251.1289999999999</v>
          </cell>
          <cell r="AI37">
            <v>2316.0540000000001</v>
          </cell>
          <cell r="AJ37">
            <v>2383.8580000000002</v>
          </cell>
          <cell r="AK37">
            <v>2453.6889999999999</v>
          </cell>
          <cell r="AL37">
            <v>2525.0050000000001</v>
          </cell>
          <cell r="AM37">
            <v>2598.6260000000002</v>
          </cell>
          <cell r="AN37">
            <v>2675.7170000000001</v>
          </cell>
          <cell r="AO37">
            <v>2756.4929999999999</v>
          </cell>
          <cell r="AP37">
            <v>2843.1410000000001</v>
          </cell>
          <cell r="AQ37">
            <v>2933.8710000000001</v>
          </cell>
          <cell r="AR37">
            <v>3020.2779999999998</v>
          </cell>
          <cell r="AS37">
            <v>3091.0830000000001</v>
          </cell>
          <cell r="AT37">
            <v>3139.0830000000001</v>
          </cell>
          <cell r="AU37">
            <v>3160.6439999999998</v>
          </cell>
          <cell r="AV37">
            <v>3160.6170000000002</v>
          </cell>
          <cell r="AW37">
            <v>3150.8110000000001</v>
          </cell>
          <cell r="AX37">
            <v>3147.8710000000001</v>
          </cell>
          <cell r="AY37">
            <v>3164.0949999999998</v>
          </cell>
          <cell r="AZ37">
            <v>3202.598</v>
          </cell>
          <cell r="BA37">
            <v>3260.6120000000001</v>
          </cell>
          <cell r="BB37">
            <v>3337.2269999999999</v>
          </cell>
          <cell r="BC37">
            <v>3429.6559999999999</v>
          </cell>
          <cell r="BD37">
            <v>3535.1559999999999</v>
          </cell>
          <cell r="BE37">
            <v>3655.0059999999999</v>
          </cell>
          <cell r="BF37">
            <v>3788.5320000000002</v>
          </cell>
          <cell r="BG37">
            <v>3928.4079999999999</v>
          </cell>
          <cell r="BH37">
            <v>4064.9580000000001</v>
          </cell>
          <cell r="BI37">
            <v>4191.2730000000001</v>
          </cell>
          <cell r="BJ37">
            <v>4304.4399999999996</v>
          </cell>
          <cell r="BK37">
            <v>4406.299</v>
          </cell>
          <cell r="BL37">
            <v>4500.6379999999999</v>
          </cell>
          <cell r="BM37">
            <v>4593.549</v>
          </cell>
          <cell r="BN37">
            <v>4689.6639999999998</v>
          </cell>
          <cell r="BO37">
            <v>4789.5680000000002</v>
          </cell>
          <cell r="BP37">
            <v>4892.2330000000002</v>
          </cell>
          <cell r="BQ37">
            <v>4998.8239999999996</v>
          </cell>
          <cell r="BR37">
            <v>5110.4440000000004</v>
          </cell>
          <cell r="BS37">
            <v>5227.7910000000002</v>
          </cell>
        </row>
        <row r="38">
          <cell r="E38">
            <v>231</v>
          </cell>
          <cell r="F38">
            <v>18128.034</v>
          </cell>
          <cell r="G38">
            <v>18466.918000000001</v>
          </cell>
          <cell r="H38">
            <v>18819.633999999998</v>
          </cell>
          <cell r="I38">
            <v>19184.239000000001</v>
          </cell>
          <cell r="J38">
            <v>19559.973999999998</v>
          </cell>
          <cell r="K38">
            <v>19947.264999999999</v>
          </cell>
          <cell r="L38">
            <v>20347.793000000001</v>
          </cell>
          <cell r="M38">
            <v>20764.427</v>
          </cell>
          <cell r="N38">
            <v>21200.998</v>
          </cell>
          <cell r="O38">
            <v>21661.944</v>
          </cell>
          <cell r="P38">
            <v>22151.218000000001</v>
          </cell>
          <cell r="Q38">
            <v>22671.131000000001</v>
          </cell>
          <cell r="R38">
            <v>23221.330999999998</v>
          </cell>
          <cell r="S38">
            <v>23798.378000000001</v>
          </cell>
          <cell r="T38">
            <v>24396.965</v>
          </cell>
          <cell r="U38">
            <v>25013.550999999999</v>
          </cell>
          <cell r="V38">
            <v>25641.175999999999</v>
          </cell>
          <cell r="W38">
            <v>26280.771000000001</v>
          </cell>
          <cell r="X38">
            <v>26945.458999999999</v>
          </cell>
          <cell r="Y38">
            <v>27653.621999999999</v>
          </cell>
          <cell r="Z38">
            <v>28414.999</v>
          </cell>
          <cell r="AA38">
            <v>29246.17</v>
          </cell>
          <cell r="AB38">
            <v>30135.007000000001</v>
          </cell>
          <cell r="AC38">
            <v>31028.727999999999</v>
          </cell>
          <cell r="AD38">
            <v>31855.294000000002</v>
          </cell>
          <cell r="AE38">
            <v>32568.539000000001</v>
          </cell>
          <cell r="AF38">
            <v>33144.536999999997</v>
          </cell>
          <cell r="AG38">
            <v>33614.152999999998</v>
          </cell>
          <cell r="AH38">
            <v>34053.430999999997</v>
          </cell>
          <cell r="AI38">
            <v>34569.428</v>
          </cell>
          <cell r="AJ38">
            <v>35239.974000000002</v>
          </cell>
          <cell r="AK38">
            <v>36093.319000000003</v>
          </cell>
          <cell r="AL38">
            <v>37109.517</v>
          </cell>
          <cell r="AM38">
            <v>38259.375999999997</v>
          </cell>
          <cell r="AN38">
            <v>39493.502999999997</v>
          </cell>
          <cell r="AO38">
            <v>40775.997000000003</v>
          </cell>
          <cell r="AP38">
            <v>42097.110999999997</v>
          </cell>
          <cell r="AQ38">
            <v>43470.218999999997</v>
          </cell>
          <cell r="AR38">
            <v>44908.705000000002</v>
          </cell>
          <cell r="AS38">
            <v>46433.603999999999</v>
          </cell>
          <cell r="AT38">
            <v>48057.093999999997</v>
          </cell>
          <cell r="AU38">
            <v>49784.987000000001</v>
          </cell>
          <cell r="AV38">
            <v>51602.775999999998</v>
          </cell>
          <cell r="AW38">
            <v>53477.944000000003</v>
          </cell>
          <cell r="AX38">
            <v>55366.517</v>
          </cell>
          <cell r="AY38">
            <v>57237.226000000002</v>
          </cell>
          <cell r="AZ38">
            <v>59076.413999999997</v>
          </cell>
          <cell r="BA38">
            <v>60893.264000000003</v>
          </cell>
          <cell r="BB38">
            <v>62707.546999999999</v>
          </cell>
          <cell r="BC38">
            <v>64550.161</v>
          </cell>
          <cell r="BD38">
            <v>66443.603000000003</v>
          </cell>
          <cell r="BE38">
            <v>68393.127999999997</v>
          </cell>
          <cell r="BF38">
            <v>70391.17</v>
          </cell>
          <cell r="BG38">
            <v>72432.289999999994</v>
          </cell>
          <cell r="BH38">
            <v>74506.974000000002</v>
          </cell>
          <cell r="BI38">
            <v>76608.430999999997</v>
          </cell>
          <cell r="BJ38">
            <v>78735.675000000003</v>
          </cell>
          <cell r="BK38">
            <v>80891.967999999993</v>
          </cell>
          <cell r="BL38">
            <v>83079.607999999993</v>
          </cell>
          <cell r="BM38">
            <v>85302.099000000002</v>
          </cell>
          <cell r="BN38">
            <v>87561.813999999998</v>
          </cell>
          <cell r="BO38">
            <v>89858.695999999996</v>
          </cell>
          <cell r="BP38">
            <v>92191.210999999996</v>
          </cell>
          <cell r="BQ38">
            <v>94558.373999999996</v>
          </cell>
          <cell r="BR38">
            <v>96958.732000000004</v>
          </cell>
          <cell r="BS38">
            <v>99390.75</v>
          </cell>
        </row>
        <row r="39">
          <cell r="E39">
            <v>404</v>
          </cell>
          <cell r="F39">
            <v>6076.7569999999996</v>
          </cell>
          <cell r="G39">
            <v>6240.1769999999997</v>
          </cell>
          <cell r="H39">
            <v>6412.38</v>
          </cell>
          <cell r="I39">
            <v>6593.1229999999996</v>
          </cell>
          <cell r="J39">
            <v>6782.3</v>
          </cell>
          <cell r="K39">
            <v>6979.9390000000003</v>
          </cell>
          <cell r="L39">
            <v>7186.2120000000004</v>
          </cell>
          <cell r="M39">
            <v>7401.4219999999996</v>
          </cell>
          <cell r="N39">
            <v>7626</v>
          </cell>
          <cell r="O39">
            <v>7860.48</v>
          </cell>
          <cell r="P39">
            <v>8105.44</v>
          </cell>
          <cell r="Q39">
            <v>8361.4419999999991</v>
          </cell>
          <cell r="R39">
            <v>8628.973</v>
          </cell>
          <cell r="S39">
            <v>8908.4249999999993</v>
          </cell>
          <cell r="T39">
            <v>9200.1579999999994</v>
          </cell>
          <cell r="U39">
            <v>9504.7019999999993</v>
          </cell>
          <cell r="V39">
            <v>9822.5049999999992</v>
          </cell>
          <cell r="W39">
            <v>10154.489</v>
          </cell>
          <cell r="X39">
            <v>10502.25</v>
          </cell>
          <cell r="Y39">
            <v>10867.717000000001</v>
          </cell>
          <cell r="Z39">
            <v>11252.466</v>
          </cell>
          <cell r="AA39">
            <v>11657.478999999999</v>
          </cell>
          <cell r="AB39">
            <v>12083.165000000001</v>
          </cell>
          <cell r="AC39">
            <v>12529.81</v>
          </cell>
          <cell r="AD39">
            <v>12997.447</v>
          </cell>
          <cell r="AE39">
            <v>13486.241</v>
          </cell>
          <cell r="AF39">
            <v>13995.974</v>
          </cell>
          <cell r="AG39">
            <v>14527.187</v>
          </cell>
          <cell r="AH39">
            <v>15081.598</v>
          </cell>
          <cell r="AI39">
            <v>15661.414000000001</v>
          </cell>
          <cell r="AJ39">
            <v>16267.906000000001</v>
          </cell>
          <cell r="AK39">
            <v>16901.181</v>
          </cell>
          <cell r="AL39">
            <v>17559.777999999998</v>
          </cell>
          <cell r="AM39">
            <v>18241.330999999998</v>
          </cell>
          <cell r="AN39">
            <v>18942.598999999998</v>
          </cell>
          <cell r="AO39">
            <v>19660.713</v>
          </cell>
          <cell r="AP39">
            <v>20393.723999999998</v>
          </cell>
          <cell r="AQ39">
            <v>21140.344000000001</v>
          </cell>
          <cell r="AR39">
            <v>21899.004000000001</v>
          </cell>
          <cell r="AS39">
            <v>22668.238000000001</v>
          </cell>
          <cell r="AT39">
            <v>23446.228999999999</v>
          </cell>
          <cell r="AU39">
            <v>24234.087</v>
          </cell>
          <cell r="AV39">
            <v>25029.754000000001</v>
          </cell>
          <cell r="AW39">
            <v>25824.736000000001</v>
          </cell>
          <cell r="AX39">
            <v>26608.089</v>
          </cell>
          <cell r="AY39">
            <v>27373.035</v>
          </cell>
          <cell r="AZ39">
            <v>28116.026999999998</v>
          </cell>
          <cell r="BA39">
            <v>28842.244999999999</v>
          </cell>
          <cell r="BB39">
            <v>29564.614000000001</v>
          </cell>
          <cell r="BC39">
            <v>30301.24</v>
          </cell>
          <cell r="BD39">
            <v>31065.82</v>
          </cell>
          <cell r="BE39">
            <v>31863.279999999999</v>
          </cell>
          <cell r="BF39">
            <v>32691.98</v>
          </cell>
          <cell r="BG39">
            <v>33551.078999999998</v>
          </cell>
          <cell r="BH39">
            <v>34437.46</v>
          </cell>
          <cell r="BI39">
            <v>35349.040000000001</v>
          </cell>
          <cell r="BJ39">
            <v>36286.014999999999</v>
          </cell>
          <cell r="BK39">
            <v>37250.54</v>
          </cell>
          <cell r="BL39">
            <v>38244.442000000003</v>
          </cell>
          <cell r="BM39">
            <v>39269.987999999998</v>
          </cell>
          <cell r="BN39">
            <v>40328.313000000002</v>
          </cell>
          <cell r="BO39">
            <v>41419.953999999998</v>
          </cell>
          <cell r="BP39">
            <v>42542.978000000003</v>
          </cell>
          <cell r="BQ39">
            <v>43692.881000000001</v>
          </cell>
          <cell r="BR39">
            <v>44863.582999999999</v>
          </cell>
          <cell r="BS39">
            <v>46050.302000000003</v>
          </cell>
        </row>
        <row r="40">
          <cell r="E40">
            <v>450</v>
          </cell>
          <cell r="F40">
            <v>4083.5540000000001</v>
          </cell>
          <cell r="G40">
            <v>4167.8270000000002</v>
          </cell>
          <cell r="H40">
            <v>4256.12</v>
          </cell>
          <cell r="I40">
            <v>4348.2389999999996</v>
          </cell>
          <cell r="J40">
            <v>4444.0609999999997</v>
          </cell>
          <cell r="K40">
            <v>4543.5420000000004</v>
          </cell>
          <cell r="L40">
            <v>4646.7139999999999</v>
          </cell>
          <cell r="M40">
            <v>4753.6850000000004</v>
          </cell>
          <cell r="N40">
            <v>4864.6310000000003</v>
          </cell>
          <cell r="O40">
            <v>4979.7790000000005</v>
          </cell>
          <cell r="P40">
            <v>5099.3710000000001</v>
          </cell>
          <cell r="Q40">
            <v>5223.6210000000001</v>
          </cell>
          <cell r="R40">
            <v>5352.674</v>
          </cell>
          <cell r="S40">
            <v>5486.5929999999998</v>
          </cell>
          <cell r="T40">
            <v>5625.4009999999998</v>
          </cell>
          <cell r="U40">
            <v>5769.2190000000001</v>
          </cell>
          <cell r="V40">
            <v>5918.06</v>
          </cell>
          <cell r="W40">
            <v>6072.27</v>
          </cell>
          <cell r="X40">
            <v>6232.7039999999997</v>
          </cell>
          <cell r="Y40">
            <v>6400.4539999999997</v>
          </cell>
          <cell r="Z40">
            <v>6576.3010000000004</v>
          </cell>
          <cell r="AA40">
            <v>6760.3519999999999</v>
          </cell>
          <cell r="AB40">
            <v>6952.3829999999998</v>
          </cell>
          <cell r="AC40">
            <v>7152.3909999999996</v>
          </cell>
          <cell r="AD40">
            <v>7360.2709999999997</v>
          </cell>
          <cell r="AE40">
            <v>7575.7569999999996</v>
          </cell>
          <cell r="AF40">
            <v>7799.6419999999998</v>
          </cell>
          <cell r="AG40">
            <v>8031.5889999999999</v>
          </cell>
          <cell r="AH40">
            <v>8268.902</v>
          </cell>
          <cell r="AI40">
            <v>8507.9580000000005</v>
          </cell>
          <cell r="AJ40">
            <v>8746.5159999999996</v>
          </cell>
          <cell r="AK40">
            <v>8983.4940000000006</v>
          </cell>
          <cell r="AL40">
            <v>9220.6929999999993</v>
          </cell>
          <cell r="AM40">
            <v>9462.3430000000008</v>
          </cell>
          <cell r="AN40">
            <v>9714.3420000000006</v>
          </cell>
          <cell r="AO40">
            <v>9981.1129999999994</v>
          </cell>
          <cell r="AP40">
            <v>10264.368</v>
          </cell>
          <cell r="AQ40">
            <v>10563.491</v>
          </cell>
          <cell r="AR40">
            <v>10877.757</v>
          </cell>
          <cell r="AS40">
            <v>11205.548000000001</v>
          </cell>
          <cell r="AT40">
            <v>11545.781999999999</v>
          </cell>
          <cell r="AU40">
            <v>11898.267</v>
          </cell>
          <cell r="AV40">
            <v>12263.898999999999</v>
          </cell>
          <cell r="AW40">
            <v>12643.864</v>
          </cell>
          <cell r="AX40">
            <v>13039.754000000001</v>
          </cell>
          <cell r="AY40">
            <v>13452.526</v>
          </cell>
          <cell r="AZ40">
            <v>13882.646000000001</v>
          </cell>
          <cell r="BA40">
            <v>14329.239</v>
          </cell>
          <cell r="BB40">
            <v>14790.245000000001</v>
          </cell>
          <cell r="BC40">
            <v>15262.816999999999</v>
          </cell>
          <cell r="BD40">
            <v>15744.811</v>
          </cell>
          <cell r="BE40">
            <v>16235.767</v>
          </cell>
          <cell r="BF40">
            <v>16736.028999999999</v>
          </cell>
          <cell r="BG40">
            <v>17245.275000000001</v>
          </cell>
          <cell r="BH40">
            <v>17763.366999999998</v>
          </cell>
          <cell r="BI40">
            <v>18290.394</v>
          </cell>
          <cell r="BJ40">
            <v>18826.129000000001</v>
          </cell>
          <cell r="BK40">
            <v>19371.030999999999</v>
          </cell>
          <cell r="BL40">
            <v>19926.797999999999</v>
          </cell>
          <cell r="BM40">
            <v>20495.705999999998</v>
          </cell>
          <cell r="BN40">
            <v>21079.531999999999</v>
          </cell>
          <cell r="BO40">
            <v>21678.866999999998</v>
          </cell>
          <cell r="BP40">
            <v>22293.72</v>
          </cell>
          <cell r="BQ40">
            <v>22924.557000000001</v>
          </cell>
          <cell r="BR40">
            <v>23571.713</v>
          </cell>
          <cell r="BS40">
            <v>24235.39</v>
          </cell>
        </row>
        <row r="41">
          <cell r="E41">
            <v>454</v>
          </cell>
          <cell r="F41">
            <v>2953.8710000000001</v>
          </cell>
          <cell r="G41">
            <v>3008.0740000000001</v>
          </cell>
          <cell r="H41">
            <v>3065.03</v>
          </cell>
          <cell r="I41">
            <v>3124.7310000000002</v>
          </cell>
          <cell r="J41">
            <v>3187.172</v>
          </cell>
          <cell r="K41">
            <v>3252.3409999999999</v>
          </cell>
          <cell r="L41">
            <v>3320.2220000000002</v>
          </cell>
          <cell r="M41">
            <v>3390.7979999999998</v>
          </cell>
          <cell r="N41">
            <v>3464.05</v>
          </cell>
          <cell r="O41">
            <v>3539.9749999999999</v>
          </cell>
          <cell r="P41">
            <v>3618.6039999999998</v>
          </cell>
          <cell r="Q41">
            <v>3700.0320000000002</v>
          </cell>
          <cell r="R41">
            <v>3784.444</v>
          </cell>
          <cell r="S41">
            <v>3872.1239999999998</v>
          </cell>
          <cell r="T41">
            <v>3963.424</v>
          </cell>
          <cell r="U41">
            <v>4058.68</v>
          </cell>
          <cell r="V41">
            <v>4158.1319999999996</v>
          </cell>
          <cell r="W41">
            <v>4262.0129999999999</v>
          </cell>
          <cell r="X41">
            <v>4370.6639999999998</v>
          </cell>
          <cell r="Y41">
            <v>4484.4560000000001</v>
          </cell>
          <cell r="Z41">
            <v>4603.7389999999996</v>
          </cell>
          <cell r="AA41">
            <v>4728.6930000000002</v>
          </cell>
          <cell r="AB41">
            <v>4859.5690000000004</v>
          </cell>
          <cell r="AC41">
            <v>4996.8609999999999</v>
          </cell>
          <cell r="AD41">
            <v>5141.1379999999999</v>
          </cell>
          <cell r="AE41">
            <v>5292.8159999999998</v>
          </cell>
          <cell r="AF41">
            <v>5454.8389999999999</v>
          </cell>
          <cell r="AG41">
            <v>5627.7879999999996</v>
          </cell>
          <cell r="AH41">
            <v>5807.17</v>
          </cell>
          <cell r="AI41">
            <v>5986.6390000000001</v>
          </cell>
          <cell r="AJ41">
            <v>6163.2250000000004</v>
          </cell>
          <cell r="AK41">
            <v>6327.3440000000001</v>
          </cell>
          <cell r="AL41">
            <v>6483.5709999999999</v>
          </cell>
          <cell r="AM41">
            <v>6659.4530000000004</v>
          </cell>
          <cell r="AN41">
            <v>6892.527</v>
          </cell>
          <cell r="AO41">
            <v>7205.6350000000002</v>
          </cell>
          <cell r="AP41">
            <v>7617.1369999999997</v>
          </cell>
          <cell r="AQ41">
            <v>8108.4840000000004</v>
          </cell>
          <cell r="AR41">
            <v>8620.9419999999991</v>
          </cell>
          <cell r="AS41">
            <v>9073.0879999999997</v>
          </cell>
          <cell r="AT41">
            <v>9408.9979999999996</v>
          </cell>
          <cell r="AU41">
            <v>9604.1990000000005</v>
          </cell>
          <cell r="AV41">
            <v>9682.9179999999997</v>
          </cell>
          <cell r="AW41">
            <v>9697.6350000000002</v>
          </cell>
          <cell r="AX41">
            <v>9725.6119999999992</v>
          </cell>
          <cell r="AY41">
            <v>9822.8119999999999</v>
          </cell>
          <cell r="AZ41">
            <v>10006.767</v>
          </cell>
          <cell r="BA41">
            <v>10260.421</v>
          </cell>
          <cell r="BB41">
            <v>10563.554</v>
          </cell>
          <cell r="BC41">
            <v>10882.543</v>
          </cell>
          <cell r="BD41">
            <v>11193.23</v>
          </cell>
          <cell r="BE41">
            <v>11491.824000000001</v>
          </cell>
          <cell r="BF41">
            <v>11788.731</v>
          </cell>
          <cell r="BG41">
            <v>12090.476000000001</v>
          </cell>
          <cell r="BH41">
            <v>12407.618</v>
          </cell>
          <cell r="BI41">
            <v>12747.846</v>
          </cell>
          <cell r="BJ41">
            <v>13112.383</v>
          </cell>
          <cell r="BK41">
            <v>13498.377</v>
          </cell>
          <cell r="BL41">
            <v>13904.671</v>
          </cell>
          <cell r="BM41">
            <v>14329.056</v>
          </cell>
          <cell r="BN41">
            <v>14769.824000000001</v>
          </cell>
          <cell r="BO41">
            <v>15226.813</v>
          </cell>
          <cell r="BP41">
            <v>15700.436</v>
          </cell>
          <cell r="BQ41">
            <v>16190.126</v>
          </cell>
          <cell r="BR41">
            <v>16695.253000000001</v>
          </cell>
          <cell r="BS41">
            <v>17215.232</v>
          </cell>
        </row>
        <row r="42">
          <cell r="E42">
            <v>480</v>
          </cell>
          <cell r="F42">
            <v>493.25400000000002</v>
          </cell>
          <cell r="G42">
            <v>506.43099999999998</v>
          </cell>
          <cell r="H42">
            <v>521.19000000000005</v>
          </cell>
          <cell r="I42">
            <v>537.048</v>
          </cell>
          <cell r="J42">
            <v>553.62300000000005</v>
          </cell>
          <cell r="K42">
            <v>570.64499999999998</v>
          </cell>
          <cell r="L42">
            <v>587.94899999999996</v>
          </cell>
          <cell r="M42">
            <v>605.48199999999997</v>
          </cell>
          <cell r="N42">
            <v>623.27499999999998</v>
          </cell>
          <cell r="O42">
            <v>641.42700000000002</v>
          </cell>
          <cell r="P42">
            <v>660.02300000000002</v>
          </cell>
          <cell r="Q42">
            <v>679.04499999999996</v>
          </cell>
          <cell r="R42">
            <v>698.30700000000002</v>
          </cell>
          <cell r="S42">
            <v>717.41300000000001</v>
          </cell>
          <cell r="T42">
            <v>735.86</v>
          </cell>
          <cell r="U42">
            <v>753.28499999999997</v>
          </cell>
          <cell r="V42">
            <v>769.55600000000004</v>
          </cell>
          <cell r="W42">
            <v>784.77700000000004</v>
          </cell>
          <cell r="X42">
            <v>799.13900000000001</v>
          </cell>
          <cell r="Y42">
            <v>812.94399999999996</v>
          </cell>
          <cell r="Z42">
            <v>826.447</v>
          </cell>
          <cell r="AA42">
            <v>839.6</v>
          </cell>
          <cell r="AB42">
            <v>852.39700000000005</v>
          </cell>
          <cell r="AC42">
            <v>865.173</v>
          </cell>
          <cell r="AD42">
            <v>878.35500000000002</v>
          </cell>
          <cell r="AE42">
            <v>892.20799999999997</v>
          </cell>
          <cell r="AF42">
            <v>906.92600000000004</v>
          </cell>
          <cell r="AG42">
            <v>922.32500000000005</v>
          </cell>
          <cell r="AH42">
            <v>937.82</v>
          </cell>
          <cell r="AI42">
            <v>952.58699999999999</v>
          </cell>
          <cell r="AJ42">
            <v>966.03599999999994</v>
          </cell>
          <cell r="AK42">
            <v>978.06700000000001</v>
          </cell>
          <cell r="AL42">
            <v>988.89</v>
          </cell>
          <cell r="AM42">
            <v>998.625</v>
          </cell>
          <cell r="AN42">
            <v>1007.503</v>
          </cell>
          <cell r="AO42">
            <v>1015.763</v>
          </cell>
          <cell r="AP42">
            <v>1023.278</v>
          </cell>
          <cell r="AQ42">
            <v>1030.175</v>
          </cell>
          <cell r="AR42">
            <v>1037.26</v>
          </cell>
          <cell r="AS42">
            <v>1045.588</v>
          </cell>
          <cell r="AT42">
            <v>1055.865</v>
          </cell>
          <cell r="AU42">
            <v>1068.4349999999999</v>
          </cell>
          <cell r="AV42">
            <v>1082.9580000000001</v>
          </cell>
          <cell r="AW42">
            <v>1098.598</v>
          </cell>
          <cell r="AX42">
            <v>1114.1400000000001</v>
          </cell>
          <cell r="AY42">
            <v>1128.6759999999999</v>
          </cell>
          <cell r="AZ42">
            <v>1141.9490000000001</v>
          </cell>
          <cell r="BA42">
            <v>1154.1369999999999</v>
          </cell>
          <cell r="BB42">
            <v>1165.288</v>
          </cell>
          <cell r="BC42">
            <v>1175.577</v>
          </cell>
          <cell r="BD42">
            <v>1185.143</v>
          </cell>
          <cell r="BE42">
            <v>1193.95</v>
          </cell>
          <cell r="BF42">
            <v>1201.931</v>
          </cell>
          <cell r="BG42">
            <v>1209.182</v>
          </cell>
          <cell r="BH42">
            <v>1215.835</v>
          </cell>
          <cell r="BI42">
            <v>1222.0060000000001</v>
          </cell>
          <cell r="BJ42">
            <v>1227.7139999999999</v>
          </cell>
          <cell r="BK42">
            <v>1232.9970000000001</v>
          </cell>
          <cell r="BL42">
            <v>1238.0129999999999</v>
          </cell>
          <cell r="BM42">
            <v>1242.954</v>
          </cell>
          <cell r="BN42">
            <v>1247.951</v>
          </cell>
          <cell r="BO42">
            <v>1253.0889999999999</v>
          </cell>
          <cell r="BP42">
            <v>1258.335</v>
          </cell>
          <cell r="BQ42">
            <v>1263.56</v>
          </cell>
          <cell r="BR42">
            <v>1268.567</v>
          </cell>
          <cell r="BS42">
            <v>1273.212</v>
          </cell>
        </row>
        <row r="43">
          <cell r="E43">
            <v>175</v>
          </cell>
          <cell r="F43">
            <v>15.141</v>
          </cell>
          <cell r="G43">
            <v>15.733000000000001</v>
          </cell>
          <cell r="H43">
            <v>16.448</v>
          </cell>
          <cell r="I43">
            <v>17.245999999999999</v>
          </cell>
          <cell r="J43">
            <v>18.097999999999999</v>
          </cell>
          <cell r="K43">
            <v>18.984000000000002</v>
          </cell>
          <cell r="L43">
            <v>19.898</v>
          </cell>
          <cell r="M43">
            <v>20.843</v>
          </cell>
          <cell r="N43">
            <v>21.832000000000001</v>
          </cell>
          <cell r="O43">
            <v>22.885999999999999</v>
          </cell>
          <cell r="P43">
            <v>24.018999999999998</v>
          </cell>
          <cell r="Q43">
            <v>25.24</v>
          </cell>
          <cell r="R43">
            <v>26.538</v>
          </cell>
          <cell r="S43">
            <v>27.879000000000001</v>
          </cell>
          <cell r="T43">
            <v>29.218</v>
          </cell>
          <cell r="U43">
            <v>30.524999999999999</v>
          </cell>
          <cell r="V43">
            <v>31.785</v>
          </cell>
          <cell r="W43">
            <v>33.012</v>
          </cell>
          <cell r="X43">
            <v>34.25</v>
          </cell>
          <cell r="Y43">
            <v>35.552999999999997</v>
          </cell>
          <cell r="Z43">
            <v>36.965000000000003</v>
          </cell>
          <cell r="AA43">
            <v>38.515999999999998</v>
          </cell>
          <cell r="AB43">
            <v>40.195</v>
          </cell>
          <cell r="AC43">
            <v>41.957999999999998</v>
          </cell>
          <cell r="AD43">
            <v>43.734000000000002</v>
          </cell>
          <cell r="AE43">
            <v>45.484000000000002</v>
          </cell>
          <cell r="AF43">
            <v>47.189</v>
          </cell>
          <cell r="AG43">
            <v>48.893000000000001</v>
          </cell>
          <cell r="AH43">
            <v>50.698999999999998</v>
          </cell>
          <cell r="AI43">
            <v>52.746000000000002</v>
          </cell>
          <cell r="AJ43">
            <v>55.136000000000003</v>
          </cell>
          <cell r="AK43">
            <v>57.908999999999999</v>
          </cell>
          <cell r="AL43">
            <v>61.042999999999999</v>
          </cell>
          <cell r="AM43">
            <v>64.497</v>
          </cell>
          <cell r="AN43">
            <v>68.200999999999993</v>
          </cell>
          <cell r="AO43">
            <v>72.103999999999999</v>
          </cell>
          <cell r="AP43">
            <v>76.182000000000002</v>
          </cell>
          <cell r="AQ43">
            <v>80.45</v>
          </cell>
          <cell r="AR43">
            <v>84.941999999999993</v>
          </cell>
          <cell r="AS43">
            <v>89.71</v>
          </cell>
          <cell r="AT43">
            <v>94.78</v>
          </cell>
          <cell r="AU43">
            <v>100.167</v>
          </cell>
          <cell r="AV43">
            <v>105.82599999999999</v>
          </cell>
          <cell r="AW43">
            <v>111.64100000000001</v>
          </cell>
          <cell r="AX43">
            <v>117.464</v>
          </cell>
          <cell r="AY43">
            <v>123.182</v>
          </cell>
          <cell r="AZ43">
            <v>128.756</v>
          </cell>
          <cell r="BA43">
            <v>134.21</v>
          </cell>
          <cell r="BB43">
            <v>139.58199999999999</v>
          </cell>
          <cell r="BC43">
            <v>144.93700000000001</v>
          </cell>
          <cell r="BD43">
            <v>150.32900000000001</v>
          </cell>
          <cell r="BE43">
            <v>155.755</v>
          </cell>
          <cell r="BF43">
            <v>161.20500000000001</v>
          </cell>
          <cell r="BG43">
            <v>166.71899999999999</v>
          </cell>
          <cell r="BH43">
            <v>172.34100000000001</v>
          </cell>
          <cell r="BI43">
            <v>178.10300000000001</v>
          </cell>
          <cell r="BJ43">
            <v>184.02600000000001</v>
          </cell>
          <cell r="BK43">
            <v>190.1</v>
          </cell>
          <cell r="BL43">
            <v>196.28</v>
          </cell>
          <cell r="BM43">
            <v>202.50299999999999</v>
          </cell>
          <cell r="BN43">
            <v>208.72300000000001</v>
          </cell>
          <cell r="BO43">
            <v>214.92400000000001</v>
          </cell>
          <cell r="BP43">
            <v>221.12299999999999</v>
          </cell>
          <cell r="BQ43">
            <v>227.34800000000001</v>
          </cell>
          <cell r="BR43">
            <v>233.63499999999999</v>
          </cell>
          <cell r="BS43">
            <v>240.01499999999999</v>
          </cell>
        </row>
        <row r="44">
          <cell r="E44">
            <v>508</v>
          </cell>
          <cell r="F44">
            <v>6313.29</v>
          </cell>
          <cell r="G44">
            <v>6405.0680000000002</v>
          </cell>
          <cell r="H44">
            <v>6503.1059999999998</v>
          </cell>
          <cell r="I44">
            <v>6607.0940000000001</v>
          </cell>
          <cell r="J44">
            <v>6716.8109999999997</v>
          </cell>
          <cell r="K44">
            <v>6832.1149999999998</v>
          </cell>
          <cell r="L44">
            <v>6952.9549999999999</v>
          </cell>
          <cell r="M44">
            <v>7079.3630000000003</v>
          </cell>
          <cell r="N44">
            <v>7211.4459999999999</v>
          </cell>
          <cell r="O44">
            <v>7349.3649999999998</v>
          </cell>
          <cell r="P44">
            <v>7493.2780000000002</v>
          </cell>
          <cell r="Q44">
            <v>7643.29</v>
          </cell>
          <cell r="R44">
            <v>7799.3959999999997</v>
          </cell>
          <cell r="S44">
            <v>7961.4579999999996</v>
          </cell>
          <cell r="T44">
            <v>8129.268</v>
          </cell>
          <cell r="U44">
            <v>8302.7360000000008</v>
          </cell>
          <cell r="V44">
            <v>8482.3729999999996</v>
          </cell>
          <cell r="W44">
            <v>8668.5290000000005</v>
          </cell>
          <cell r="X44">
            <v>8860.8230000000003</v>
          </cell>
          <cell r="Y44">
            <v>9058.6910000000007</v>
          </cell>
          <cell r="Z44">
            <v>9262.0779999999995</v>
          </cell>
          <cell r="AA44">
            <v>9468.8359999999993</v>
          </cell>
          <cell r="AB44">
            <v>9679.7530000000006</v>
          </cell>
          <cell r="AC44">
            <v>9901.0519999999997</v>
          </cell>
          <cell r="AD44">
            <v>10141.147000000001</v>
          </cell>
          <cell r="AE44">
            <v>10405</v>
          </cell>
          <cell r="AF44">
            <v>10693.688</v>
          </cell>
          <cell r="AG44">
            <v>11001.909</v>
          </cell>
          <cell r="AH44">
            <v>11320.102999999999</v>
          </cell>
          <cell r="AI44">
            <v>11635.174000000001</v>
          </cell>
          <cell r="AJ44">
            <v>11936.379000000001</v>
          </cell>
          <cell r="AK44">
            <v>12228.508</v>
          </cell>
          <cell r="AL44">
            <v>12511.864</v>
          </cell>
          <cell r="AM44">
            <v>12766.859</v>
          </cell>
          <cell r="AN44">
            <v>12968.334999999999</v>
          </cell>
          <cell r="AO44">
            <v>13102.982</v>
          </cell>
          <cell r="AP44">
            <v>13155.271000000001</v>
          </cell>
          <cell r="AQ44">
            <v>13142.516</v>
          </cell>
          <cell r="AR44">
            <v>13124.285</v>
          </cell>
          <cell r="AS44">
            <v>13181.941000000001</v>
          </cell>
          <cell r="AT44">
            <v>13371.971</v>
          </cell>
          <cell r="AU44">
            <v>13719.852999999999</v>
          </cell>
          <cell r="AV44">
            <v>14203.986999999999</v>
          </cell>
          <cell r="AW44">
            <v>14775.877</v>
          </cell>
          <cell r="AX44">
            <v>15363.065000000001</v>
          </cell>
          <cell r="AY44">
            <v>15913.101000000001</v>
          </cell>
          <cell r="AZ44">
            <v>16410.776999999998</v>
          </cell>
          <cell r="BA44">
            <v>16872.896000000001</v>
          </cell>
          <cell r="BB44">
            <v>17317.376</v>
          </cell>
          <cell r="BC44">
            <v>17774.065999999999</v>
          </cell>
          <cell r="BD44">
            <v>18264.536</v>
          </cell>
          <cell r="BE44">
            <v>18792.357</v>
          </cell>
          <cell r="BF44">
            <v>19348.715</v>
          </cell>
          <cell r="BG44">
            <v>19928.495999999999</v>
          </cell>
          <cell r="BH44">
            <v>20523.159</v>
          </cell>
          <cell r="BI44">
            <v>21126.675999999999</v>
          </cell>
          <cell r="BJ44">
            <v>21737.86</v>
          </cell>
          <cell r="BK44">
            <v>22359.636999999999</v>
          </cell>
          <cell r="BL44">
            <v>22994.866999999998</v>
          </cell>
          <cell r="BM44">
            <v>23647.814999999999</v>
          </cell>
          <cell r="BN44">
            <v>24321.456999999999</v>
          </cell>
          <cell r="BO44">
            <v>25016.920999999998</v>
          </cell>
          <cell r="BP44">
            <v>25732.928</v>
          </cell>
          <cell r="BQ44">
            <v>26467.18</v>
          </cell>
          <cell r="BR44">
            <v>27216.276000000002</v>
          </cell>
          <cell r="BS44">
            <v>27977.863000000001</v>
          </cell>
        </row>
        <row r="45">
          <cell r="E45">
            <v>638</v>
          </cell>
          <cell r="F45">
            <v>248.11099999999999</v>
          </cell>
          <cell r="G45">
            <v>259.29300000000001</v>
          </cell>
          <cell r="H45">
            <v>268.48500000000001</v>
          </cell>
          <cell r="I45">
            <v>276.52600000000001</v>
          </cell>
          <cell r="J45">
            <v>284.084</v>
          </cell>
          <cell r="K45">
            <v>291.65800000000002</v>
          </cell>
          <cell r="L45">
            <v>299.572</v>
          </cell>
          <cell r="M45">
            <v>307.97800000000001</v>
          </cell>
          <cell r="N45">
            <v>316.88099999999997</v>
          </cell>
          <cell r="O45">
            <v>326.16399999999999</v>
          </cell>
          <cell r="P45">
            <v>335.69099999999997</v>
          </cell>
          <cell r="Q45">
            <v>345.40699999999998</v>
          </cell>
          <cell r="R45">
            <v>355.428</v>
          </cell>
          <cell r="S45">
            <v>366.08100000000002</v>
          </cell>
          <cell r="T45">
            <v>377.79300000000001</v>
          </cell>
          <cell r="U45">
            <v>390.77</v>
          </cell>
          <cell r="V45">
            <v>405.29</v>
          </cell>
          <cell r="W45">
            <v>420.99599999999998</v>
          </cell>
          <cell r="X45">
            <v>436.68799999999999</v>
          </cell>
          <cell r="Y45">
            <v>450.74099999999999</v>
          </cell>
          <cell r="Z45">
            <v>462.02499999999998</v>
          </cell>
          <cell r="AA45">
            <v>470.12</v>
          </cell>
          <cell r="AB45">
            <v>475.47199999999998</v>
          </cell>
          <cell r="AC45">
            <v>478.911</v>
          </cell>
          <cell r="AD45">
            <v>481.68900000000002</v>
          </cell>
          <cell r="AE45">
            <v>484.77600000000001</v>
          </cell>
          <cell r="AF45">
            <v>488.351</v>
          </cell>
          <cell r="AG45">
            <v>492.29199999999997</v>
          </cell>
          <cell r="AH45">
            <v>496.90899999999999</v>
          </cell>
          <cell r="AI45">
            <v>502.5</v>
          </cell>
          <cell r="AJ45">
            <v>509.25900000000001</v>
          </cell>
          <cell r="AK45">
            <v>517.41999999999996</v>
          </cell>
          <cell r="AL45">
            <v>526.94500000000005</v>
          </cell>
          <cell r="AM45">
            <v>537.399</v>
          </cell>
          <cell r="AN45">
            <v>548.13699999999994</v>
          </cell>
          <cell r="AO45">
            <v>558.70000000000005</v>
          </cell>
          <cell r="AP45">
            <v>568.91700000000003</v>
          </cell>
          <cell r="AQ45">
            <v>578.93299999999999</v>
          </cell>
          <cell r="AR45">
            <v>588.98699999999997</v>
          </cell>
          <cell r="AS45">
            <v>599.452</v>
          </cell>
          <cell r="AT45">
            <v>610.58199999999999</v>
          </cell>
          <cell r="AU45">
            <v>622.41399999999999</v>
          </cell>
          <cell r="AV45">
            <v>634.79899999999998</v>
          </cell>
          <cell r="AW45">
            <v>647.58799999999997</v>
          </cell>
          <cell r="AX45">
            <v>660.56100000000004</v>
          </cell>
          <cell r="AY45">
            <v>673.54200000000003</v>
          </cell>
          <cell r="AZ45">
            <v>686.46100000000001</v>
          </cell>
          <cell r="BA45">
            <v>699.29899999999998</v>
          </cell>
          <cell r="BB45">
            <v>711.99300000000005</v>
          </cell>
          <cell r="BC45">
            <v>724.48400000000004</v>
          </cell>
          <cell r="BD45">
            <v>736.71100000000001</v>
          </cell>
          <cell r="BE45">
            <v>748.649</v>
          </cell>
          <cell r="BF45">
            <v>760.23699999999997</v>
          </cell>
          <cell r="BG45">
            <v>771.35</v>
          </cell>
          <cell r="BH45">
            <v>781.83799999999997</v>
          </cell>
          <cell r="BI45">
            <v>791.60199999999998</v>
          </cell>
          <cell r="BJ45">
            <v>800.59799999999996</v>
          </cell>
          <cell r="BK45">
            <v>808.87</v>
          </cell>
          <cell r="BL45">
            <v>816.51700000000005</v>
          </cell>
          <cell r="BM45">
            <v>823.69100000000003</v>
          </cell>
          <cell r="BN45">
            <v>830.51599999999996</v>
          </cell>
          <cell r="BO45">
            <v>837.02</v>
          </cell>
          <cell r="BP45">
            <v>843.22199999999998</v>
          </cell>
          <cell r="BQ45">
            <v>849.23099999999999</v>
          </cell>
          <cell r="BR45">
            <v>855.17700000000002</v>
          </cell>
          <cell r="BS45">
            <v>861.154</v>
          </cell>
        </row>
        <row r="46">
          <cell r="E46">
            <v>646</v>
          </cell>
          <cell r="F46">
            <v>2186.1869999999999</v>
          </cell>
          <cell r="G46">
            <v>2250.6750000000002</v>
          </cell>
          <cell r="H46">
            <v>2313.306</v>
          </cell>
          <cell r="I46">
            <v>2378.442</v>
          </cell>
          <cell r="J46">
            <v>2448.8139999999999</v>
          </cell>
          <cell r="K46">
            <v>2525.5239999999999</v>
          </cell>
          <cell r="L46">
            <v>2607.9450000000002</v>
          </cell>
          <cell r="M46">
            <v>2693.819</v>
          </cell>
          <cell r="N46">
            <v>2779.55</v>
          </cell>
          <cell r="O46">
            <v>2860.694</v>
          </cell>
          <cell r="P46">
            <v>2933.424</v>
          </cell>
          <cell r="Q46">
            <v>2996.0909999999999</v>
          </cell>
          <cell r="R46">
            <v>3050.596</v>
          </cell>
          <cell r="S46">
            <v>3102.9679999999998</v>
          </cell>
          <cell r="T46">
            <v>3161.7190000000001</v>
          </cell>
          <cell r="U46">
            <v>3232.9369999999999</v>
          </cell>
          <cell r="V46">
            <v>3319.0770000000002</v>
          </cell>
          <cell r="W46">
            <v>3418.3130000000001</v>
          </cell>
          <cell r="X46">
            <v>3527.26</v>
          </cell>
          <cell r="Y46">
            <v>3640.5909999999999</v>
          </cell>
          <cell r="Z46">
            <v>3754.5459999999998</v>
          </cell>
          <cell r="AA46">
            <v>3868.3449999999998</v>
          </cell>
          <cell r="AB46">
            <v>3983.7069999999999</v>
          </cell>
          <cell r="AC46">
            <v>4102.3360000000002</v>
          </cell>
          <cell r="AD46">
            <v>4226.8360000000002</v>
          </cell>
          <cell r="AE46">
            <v>4359.1660000000002</v>
          </cell>
          <cell r="AF46">
            <v>4499.72</v>
          </cell>
          <cell r="AG46">
            <v>4648.07</v>
          </cell>
          <cell r="AH46">
            <v>4804.375</v>
          </cell>
          <cell r="AI46">
            <v>4968.6279999999997</v>
          </cell>
          <cell r="AJ46">
            <v>5140.7860000000001</v>
          </cell>
          <cell r="AK46">
            <v>5313.9080000000004</v>
          </cell>
          <cell r="AL46">
            <v>5486.4309999999996</v>
          </cell>
          <cell r="AM46">
            <v>5669.2510000000002</v>
          </cell>
          <cell r="AN46">
            <v>5877.5559999999996</v>
          </cell>
          <cell r="AO46">
            <v>6117.9660000000003</v>
          </cell>
          <cell r="AP46">
            <v>6410.5940000000001</v>
          </cell>
          <cell r="AQ46">
            <v>6742.39</v>
          </cell>
          <cell r="AR46">
            <v>7048.0749999999998</v>
          </cell>
          <cell r="AS46">
            <v>7239.0969999999998</v>
          </cell>
          <cell r="AT46">
            <v>7259.74</v>
          </cell>
          <cell r="AU46">
            <v>7071.393</v>
          </cell>
          <cell r="AV46">
            <v>6712.924</v>
          </cell>
          <cell r="AW46">
            <v>6300.3580000000002</v>
          </cell>
          <cell r="AX46">
            <v>5995.9870000000001</v>
          </cell>
          <cell r="AY46">
            <v>5912.7550000000001</v>
          </cell>
          <cell r="AZ46">
            <v>6097.6880000000001</v>
          </cell>
          <cell r="BA46">
            <v>6506.1180000000004</v>
          </cell>
          <cell r="BB46">
            <v>7047.1959999999999</v>
          </cell>
          <cell r="BC46">
            <v>7585.143</v>
          </cell>
          <cell r="BD46">
            <v>8021.875</v>
          </cell>
          <cell r="BE46">
            <v>8329.1129999999994</v>
          </cell>
          <cell r="BF46">
            <v>8539.0290000000005</v>
          </cell>
          <cell r="BG46">
            <v>8686.4689999999991</v>
          </cell>
          <cell r="BH46">
            <v>8828.9560000000001</v>
          </cell>
          <cell r="BI46">
            <v>9008.23</v>
          </cell>
          <cell r="BJ46">
            <v>9231.0409999999993</v>
          </cell>
          <cell r="BK46">
            <v>9481.0830000000005</v>
          </cell>
          <cell r="BL46">
            <v>9750.3140000000003</v>
          </cell>
          <cell r="BM46">
            <v>10024.593999999999</v>
          </cell>
          <cell r="BN46">
            <v>10293.669</v>
          </cell>
          <cell r="BO46">
            <v>10556.429</v>
          </cell>
          <cell r="BP46">
            <v>10817.35</v>
          </cell>
          <cell r="BQ46">
            <v>11078.094999999999</v>
          </cell>
          <cell r="BR46">
            <v>11341.544</v>
          </cell>
          <cell r="BS46">
            <v>11609.665999999999</v>
          </cell>
        </row>
        <row r="47">
          <cell r="E47">
            <v>690</v>
          </cell>
          <cell r="F47">
            <v>36.322000000000003</v>
          </cell>
          <cell r="G47">
            <v>36.883000000000003</v>
          </cell>
          <cell r="H47">
            <v>37.438000000000002</v>
          </cell>
          <cell r="I47">
            <v>37.966000000000001</v>
          </cell>
          <cell r="J47">
            <v>38.453000000000003</v>
          </cell>
          <cell r="K47">
            <v>38.904000000000003</v>
          </cell>
          <cell r="L47">
            <v>39.332000000000001</v>
          </cell>
          <cell r="M47">
            <v>39.768999999999998</v>
          </cell>
          <cell r="N47">
            <v>40.252000000000002</v>
          </cell>
          <cell r="O47">
            <v>40.829000000000001</v>
          </cell>
          <cell r="P47">
            <v>41.537999999999997</v>
          </cell>
          <cell r="Q47">
            <v>42.402000000000001</v>
          </cell>
          <cell r="R47">
            <v>43.408999999999999</v>
          </cell>
          <cell r="S47">
            <v>44.515000000000001</v>
          </cell>
          <cell r="T47">
            <v>45.651000000000003</v>
          </cell>
          <cell r="U47">
            <v>46.77</v>
          </cell>
          <cell r="V47">
            <v>47.850999999999999</v>
          </cell>
          <cell r="W47">
            <v>48.911000000000001</v>
          </cell>
          <cell r="X47">
            <v>49.984999999999999</v>
          </cell>
          <cell r="Y47">
            <v>51.124000000000002</v>
          </cell>
          <cell r="Z47">
            <v>52.363999999999997</v>
          </cell>
          <cell r="AA47">
            <v>53.706000000000003</v>
          </cell>
          <cell r="AB47">
            <v>55.128</v>
          </cell>
          <cell r="AC47">
            <v>56.604999999999997</v>
          </cell>
          <cell r="AD47">
            <v>58.101999999999997</v>
          </cell>
          <cell r="AE47">
            <v>59.588999999999999</v>
          </cell>
          <cell r="AF47">
            <v>61.058</v>
          </cell>
          <cell r="AG47">
            <v>62.5</v>
          </cell>
          <cell r="AH47">
            <v>63.88</v>
          </cell>
          <cell r="AI47">
            <v>65.153000000000006</v>
          </cell>
          <cell r="AJ47">
            <v>66.292000000000002</v>
          </cell>
          <cell r="AK47">
            <v>67.298000000000002</v>
          </cell>
          <cell r="AL47">
            <v>68.176000000000002</v>
          </cell>
          <cell r="AM47">
            <v>68.906000000000006</v>
          </cell>
          <cell r="AN47">
            <v>69.462999999999994</v>
          </cell>
          <cell r="AO47">
            <v>69.840999999999994</v>
          </cell>
          <cell r="AP47">
            <v>70.010999999999996</v>
          </cell>
          <cell r="AQ47">
            <v>70.010000000000005</v>
          </cell>
          <cell r="AR47">
            <v>69.989999999999995</v>
          </cell>
          <cell r="AS47">
            <v>70.150000000000006</v>
          </cell>
          <cell r="AT47">
            <v>70.626999999999995</v>
          </cell>
          <cell r="AU47">
            <v>71.495999999999995</v>
          </cell>
          <cell r="AV47">
            <v>72.706000000000003</v>
          </cell>
          <cell r="AW47">
            <v>74.111000000000004</v>
          </cell>
          <cell r="AX47">
            <v>75.492999999999995</v>
          </cell>
          <cell r="AY47">
            <v>76.703000000000003</v>
          </cell>
          <cell r="AZ47">
            <v>77.677999999999997</v>
          </cell>
          <cell r="BA47">
            <v>78.474000000000004</v>
          </cell>
          <cell r="BB47">
            <v>79.212999999999994</v>
          </cell>
          <cell r="BC47">
            <v>80.066000000000003</v>
          </cell>
          <cell r="BD47">
            <v>81.153999999999996</v>
          </cell>
          <cell r="BE47">
            <v>82.519000000000005</v>
          </cell>
          <cell r="BF47">
            <v>84.096000000000004</v>
          </cell>
          <cell r="BG47">
            <v>85.765000000000001</v>
          </cell>
          <cell r="BH47">
            <v>87.355999999999995</v>
          </cell>
          <cell r="BI47">
            <v>88.747</v>
          </cell>
          <cell r="BJ47">
            <v>89.896000000000001</v>
          </cell>
          <cell r="BK47">
            <v>90.840999999999994</v>
          </cell>
          <cell r="BL47">
            <v>91.634</v>
          </cell>
          <cell r="BM47">
            <v>92.36</v>
          </cell>
          <cell r="BN47">
            <v>93.081000000000003</v>
          </cell>
          <cell r="BO47">
            <v>93.81</v>
          </cell>
          <cell r="BP47">
            <v>94.524000000000001</v>
          </cell>
          <cell r="BQ47">
            <v>95.215000000000003</v>
          </cell>
          <cell r="BR47">
            <v>95.867999999999995</v>
          </cell>
          <cell r="BS47">
            <v>96.471000000000004</v>
          </cell>
        </row>
        <row r="48">
          <cell r="E48">
            <v>706</v>
          </cell>
          <cell r="F48">
            <v>2264.0810000000001</v>
          </cell>
          <cell r="G48">
            <v>2307.576</v>
          </cell>
          <cell r="H48">
            <v>2351.8110000000001</v>
          </cell>
          <cell r="I48">
            <v>2397.067</v>
          </cell>
          <cell r="J48">
            <v>2443.576</v>
          </cell>
          <cell r="K48">
            <v>2491.5300000000002</v>
          </cell>
          <cell r="L48">
            <v>2541.067</v>
          </cell>
          <cell r="M48">
            <v>2592.2779999999998</v>
          </cell>
          <cell r="N48">
            <v>2645.2190000000001</v>
          </cell>
          <cell r="O48">
            <v>2699.9119999999998</v>
          </cell>
          <cell r="P48">
            <v>2756.38</v>
          </cell>
          <cell r="Q48">
            <v>2814.683</v>
          </cell>
          <cell r="R48">
            <v>2874.944</v>
          </cell>
          <cell r="S48">
            <v>2937.36</v>
          </cell>
          <cell r="T48">
            <v>3002.1729999999998</v>
          </cell>
          <cell r="U48">
            <v>3069.558</v>
          </cell>
          <cell r="V48">
            <v>3144.2440000000001</v>
          </cell>
          <cell r="W48">
            <v>3227.2449999999999</v>
          </cell>
          <cell r="X48">
            <v>3311.1109999999999</v>
          </cell>
          <cell r="Y48">
            <v>3385.4140000000002</v>
          </cell>
          <cell r="Z48">
            <v>3445.42</v>
          </cell>
          <cell r="AA48">
            <v>3477.5680000000002</v>
          </cell>
          <cell r="AB48">
            <v>3490.2950000000001</v>
          </cell>
          <cell r="AC48">
            <v>3526.527</v>
          </cell>
          <cell r="AD48">
            <v>3644.5720000000001</v>
          </cell>
          <cell r="AE48">
            <v>3880.9549999999999</v>
          </cell>
          <cell r="AF48">
            <v>4259.6360000000004</v>
          </cell>
          <cell r="AG48">
            <v>4754.1490000000003</v>
          </cell>
          <cell r="AH48">
            <v>5289.049</v>
          </cell>
          <cell r="AI48">
            <v>5758.9610000000002</v>
          </cell>
          <cell r="AJ48">
            <v>6089.7070000000003</v>
          </cell>
          <cell r="AK48">
            <v>6251.73</v>
          </cell>
          <cell r="AL48">
            <v>6271.5379999999996</v>
          </cell>
          <cell r="AM48">
            <v>6199.6710000000003</v>
          </cell>
          <cell r="AN48">
            <v>6113.2520000000004</v>
          </cell>
          <cell r="AO48">
            <v>6068.4250000000002</v>
          </cell>
          <cell r="AP48">
            <v>6082.723</v>
          </cell>
          <cell r="AQ48">
            <v>6138.9070000000002</v>
          </cell>
          <cell r="AR48">
            <v>6217.3310000000001</v>
          </cell>
          <cell r="AS48">
            <v>6285.4560000000001</v>
          </cell>
          <cell r="AT48">
            <v>6321.6149999999998</v>
          </cell>
          <cell r="AU48">
            <v>6319.5309999999999</v>
          </cell>
          <cell r="AV48">
            <v>6294.0169999999998</v>
          </cell>
          <cell r="AW48">
            <v>6269.2439999999997</v>
          </cell>
          <cell r="AX48">
            <v>6278.9110000000001</v>
          </cell>
          <cell r="AY48">
            <v>6346.44</v>
          </cell>
          <cell r="AZ48">
            <v>6480.8879999999999</v>
          </cell>
          <cell r="BA48">
            <v>6672.7809999999999</v>
          </cell>
          <cell r="BB48">
            <v>6904.2309999999998</v>
          </cell>
          <cell r="BC48">
            <v>7148.4059999999999</v>
          </cell>
          <cell r="BD48">
            <v>7385.4160000000002</v>
          </cell>
          <cell r="BE48">
            <v>7610.0529999999999</v>
          </cell>
          <cell r="BF48">
            <v>7827.2030000000004</v>
          </cell>
          <cell r="BG48">
            <v>8039.1040000000003</v>
          </cell>
          <cell r="BH48">
            <v>8251.0540000000001</v>
          </cell>
          <cell r="BI48">
            <v>8466.9380000000001</v>
          </cell>
          <cell r="BJ48">
            <v>8686.9390000000003</v>
          </cell>
          <cell r="BK48">
            <v>8909.0149999999994</v>
          </cell>
          <cell r="BL48">
            <v>9132.5889999999999</v>
          </cell>
          <cell r="BM48">
            <v>9356.8269999999993</v>
          </cell>
          <cell r="BN48">
            <v>9581.7139999999999</v>
          </cell>
          <cell r="BO48">
            <v>9806.67</v>
          </cell>
          <cell r="BP48">
            <v>10033.629999999999</v>
          </cell>
          <cell r="BQ48">
            <v>10268.156999999999</v>
          </cell>
          <cell r="BR48">
            <v>10517.569</v>
          </cell>
          <cell r="BS48">
            <v>10787.103999999999</v>
          </cell>
        </row>
        <row r="49">
          <cell r="E49">
            <v>728</v>
          </cell>
          <cell r="F49">
            <v>2582.9290000000001</v>
          </cell>
          <cell r="G49">
            <v>2601.308</v>
          </cell>
          <cell r="H49">
            <v>2624.5630000000001</v>
          </cell>
          <cell r="I49">
            <v>2652.415</v>
          </cell>
          <cell r="J49">
            <v>2684.5970000000002</v>
          </cell>
          <cell r="K49">
            <v>2720.8519999999999</v>
          </cell>
          <cell r="L49">
            <v>2760.933</v>
          </cell>
          <cell r="M49">
            <v>2804.6039999999998</v>
          </cell>
          <cell r="N49">
            <v>2851.6439999999998</v>
          </cell>
          <cell r="O49">
            <v>2901.8470000000002</v>
          </cell>
          <cell r="P49">
            <v>2955.0439999999999</v>
          </cell>
          <cell r="Q49">
            <v>3011.1120000000001</v>
          </cell>
          <cell r="R49">
            <v>3069.99</v>
          </cell>
          <cell r="S49">
            <v>3131.6860000000001</v>
          </cell>
          <cell r="T49">
            <v>3196.2579999999998</v>
          </cell>
          <cell r="U49">
            <v>3263.7669999999998</v>
          </cell>
          <cell r="V49">
            <v>3334.2539999999999</v>
          </cell>
          <cell r="W49">
            <v>3407.7539999999999</v>
          </cell>
          <cell r="X49">
            <v>3484.335</v>
          </cell>
          <cell r="Y49">
            <v>3564.0790000000002</v>
          </cell>
          <cell r="Z49">
            <v>3647.0970000000002</v>
          </cell>
          <cell r="AA49">
            <v>3733.547</v>
          </cell>
          <cell r="AB49">
            <v>3823.605</v>
          </cell>
          <cell r="AC49">
            <v>3917.45</v>
          </cell>
          <cell r="AD49">
            <v>4015.2710000000002</v>
          </cell>
          <cell r="AE49">
            <v>4117.299</v>
          </cell>
          <cell r="AF49">
            <v>4222.0559999999996</v>
          </cell>
          <cell r="AG49">
            <v>4329.4669999999996</v>
          </cell>
          <cell r="AH49">
            <v>4442.665</v>
          </cell>
          <cell r="AI49">
            <v>4565.9120000000003</v>
          </cell>
          <cell r="AJ49">
            <v>4701.3599999999997</v>
          </cell>
          <cell r="AK49">
            <v>4849.7079999999996</v>
          </cell>
          <cell r="AL49">
            <v>5007.1450000000004</v>
          </cell>
          <cell r="AM49">
            <v>5165.6229999999996</v>
          </cell>
          <cell r="AN49">
            <v>5314.3580000000002</v>
          </cell>
          <cell r="AO49">
            <v>5444.9070000000002</v>
          </cell>
          <cell r="AP49">
            <v>5559.8040000000001</v>
          </cell>
          <cell r="AQ49">
            <v>5660.1530000000002</v>
          </cell>
          <cell r="AR49">
            <v>5735.17</v>
          </cell>
          <cell r="AS49">
            <v>5771.3050000000003</v>
          </cell>
          <cell r="AT49">
            <v>5762.19</v>
          </cell>
          <cell r="AU49">
            <v>5698.9979999999996</v>
          </cell>
          <cell r="AV49">
            <v>5593.3469999999998</v>
          </cell>
          <cell r="AW49">
            <v>5484.3720000000003</v>
          </cell>
          <cell r="AX49">
            <v>5425.0990000000002</v>
          </cell>
          <cell r="AY49">
            <v>5452.7709999999997</v>
          </cell>
          <cell r="AZ49">
            <v>5584.223</v>
          </cell>
          <cell r="BA49">
            <v>5806.951</v>
          </cell>
          <cell r="BB49">
            <v>6092.6880000000001</v>
          </cell>
          <cell r="BC49">
            <v>6398.4160000000002</v>
          </cell>
          <cell r="BD49">
            <v>6692.9989999999998</v>
          </cell>
          <cell r="BE49">
            <v>6967.817</v>
          </cell>
          <cell r="BF49">
            <v>7233.2370000000001</v>
          </cell>
          <cell r="BG49">
            <v>7499.6949999999997</v>
          </cell>
          <cell r="BH49">
            <v>7784.4880000000003</v>
          </cell>
          <cell r="BI49">
            <v>8099.9080000000004</v>
          </cell>
          <cell r="BJ49">
            <v>8445.6589999999997</v>
          </cell>
          <cell r="BK49">
            <v>8815.4950000000008</v>
          </cell>
          <cell r="BL49">
            <v>9208.598</v>
          </cell>
          <cell r="BM49">
            <v>9623.1759999999995</v>
          </cell>
          <cell r="BN49">
            <v>10056.475</v>
          </cell>
          <cell r="BO49">
            <v>10510.121999999999</v>
          </cell>
          <cell r="BP49">
            <v>10980.623</v>
          </cell>
          <cell r="BQ49">
            <v>11453.81</v>
          </cell>
          <cell r="BR49">
            <v>11911.183999999999</v>
          </cell>
          <cell r="BS49">
            <v>12339.812</v>
          </cell>
        </row>
        <row r="50">
          <cell r="E50">
            <v>800</v>
          </cell>
          <cell r="F50">
            <v>5158.1930000000002</v>
          </cell>
          <cell r="G50">
            <v>5308.6729999999998</v>
          </cell>
          <cell r="H50">
            <v>5455.54</v>
          </cell>
          <cell r="I50">
            <v>5601.2430000000004</v>
          </cell>
          <cell r="J50">
            <v>5748.2079999999996</v>
          </cell>
          <cell r="K50">
            <v>5898.8339999999998</v>
          </cell>
          <cell r="L50">
            <v>6055.5169999999998</v>
          </cell>
          <cell r="M50">
            <v>6220.6279999999997</v>
          </cell>
          <cell r="N50">
            <v>6396.4539999999997</v>
          </cell>
          <cell r="O50">
            <v>6585.1030000000001</v>
          </cell>
          <cell r="P50">
            <v>6788.2110000000002</v>
          </cell>
          <cell r="Q50">
            <v>7006.6289999999999</v>
          </cell>
          <cell r="R50">
            <v>7240.1549999999997</v>
          </cell>
          <cell r="S50">
            <v>7487.4110000000001</v>
          </cell>
          <cell r="T50">
            <v>7746.1809999999996</v>
          </cell>
          <cell r="U50">
            <v>8014.3760000000002</v>
          </cell>
          <cell r="V50">
            <v>8292.7469999999994</v>
          </cell>
          <cell r="W50">
            <v>8580.6319999999996</v>
          </cell>
          <cell r="X50">
            <v>8872.866</v>
          </cell>
          <cell r="Y50">
            <v>9162.7729999999992</v>
          </cell>
          <cell r="Z50">
            <v>9446.0239999999994</v>
          </cell>
          <cell r="AA50">
            <v>9720.3649999999998</v>
          </cell>
          <cell r="AB50">
            <v>9988.3209999999999</v>
          </cell>
          <cell r="AC50">
            <v>10256.342000000001</v>
          </cell>
          <cell r="AD50">
            <v>10533.627</v>
          </cell>
          <cell r="AE50">
            <v>10827.071</v>
          </cell>
          <cell r="AF50">
            <v>11139.772000000001</v>
          </cell>
          <cell r="AG50">
            <v>11470.741</v>
          </cell>
          <cell r="AH50">
            <v>11817.950999999999</v>
          </cell>
          <cell r="AI50">
            <v>12177.677</v>
          </cell>
          <cell r="AJ50">
            <v>12547.754000000001</v>
          </cell>
          <cell r="AK50">
            <v>12927.007</v>
          </cell>
          <cell r="AL50">
            <v>13318.148999999999</v>
          </cell>
          <cell r="AM50">
            <v>13727.427</v>
          </cell>
          <cell r="AN50">
            <v>14163.214</v>
          </cell>
          <cell r="AO50">
            <v>14631.089</v>
          </cell>
          <cell r="AP50">
            <v>15133.74</v>
          </cell>
          <cell r="AQ50">
            <v>15668.278</v>
          </cell>
          <cell r="AR50">
            <v>16227.778</v>
          </cell>
          <cell r="AS50">
            <v>16802.258000000002</v>
          </cell>
          <cell r="AT50">
            <v>17384.368999999999</v>
          </cell>
          <cell r="AU50">
            <v>17973.428</v>
          </cell>
          <cell r="AV50">
            <v>18571.526999999998</v>
          </cell>
          <cell r="AW50">
            <v>19177.66</v>
          </cell>
          <cell r="AX50">
            <v>19791.266</v>
          </cell>
          <cell r="AY50">
            <v>20412.967000000001</v>
          </cell>
          <cell r="AZ50">
            <v>21041.468000000001</v>
          </cell>
          <cell r="BA50">
            <v>21679.496999999999</v>
          </cell>
          <cell r="BB50">
            <v>22336.812000000002</v>
          </cell>
          <cell r="BC50">
            <v>23026.357</v>
          </cell>
          <cell r="BD50">
            <v>23757.635999999999</v>
          </cell>
          <cell r="BE50">
            <v>24534.668000000001</v>
          </cell>
          <cell r="BF50">
            <v>25355.794000000002</v>
          </cell>
          <cell r="BG50">
            <v>26217.759999999998</v>
          </cell>
          <cell r="BH50">
            <v>27114.741999999998</v>
          </cell>
          <cell r="BI50">
            <v>28042.413</v>
          </cell>
          <cell r="BJ50">
            <v>29000.924999999999</v>
          </cell>
          <cell r="BK50">
            <v>29991.957999999999</v>
          </cell>
          <cell r="BL50">
            <v>31014.427</v>
          </cell>
          <cell r="BM50">
            <v>32067.125</v>
          </cell>
          <cell r="BN50">
            <v>33149.417000000001</v>
          </cell>
          <cell r="BO50">
            <v>34260.341999999997</v>
          </cell>
          <cell r="BP50">
            <v>35400.620000000003</v>
          </cell>
          <cell r="BQ50">
            <v>36573.387000000002</v>
          </cell>
          <cell r="BR50">
            <v>37782.970999999998</v>
          </cell>
          <cell r="BS50">
            <v>39032.383000000002</v>
          </cell>
        </row>
        <row r="51">
          <cell r="E51">
            <v>834</v>
          </cell>
          <cell r="F51">
            <v>7649.7659999999996</v>
          </cell>
          <cell r="G51">
            <v>7847.3029999999999</v>
          </cell>
          <cell r="H51">
            <v>8055.9110000000001</v>
          </cell>
          <cell r="I51">
            <v>8274.7469999999994</v>
          </cell>
          <cell r="J51">
            <v>8503.2180000000008</v>
          </cell>
          <cell r="K51">
            <v>8740.9840000000004</v>
          </cell>
          <cell r="L51">
            <v>8987.9660000000003</v>
          </cell>
          <cell r="M51">
            <v>9244.34</v>
          </cell>
          <cell r="N51">
            <v>9510.5010000000002</v>
          </cell>
          <cell r="O51">
            <v>9787.0190000000002</v>
          </cell>
          <cell r="P51">
            <v>10074.49</v>
          </cell>
          <cell r="Q51">
            <v>10373.379999999999</v>
          </cell>
          <cell r="R51">
            <v>10683.888000000001</v>
          </cell>
          <cell r="S51">
            <v>11005.882</v>
          </cell>
          <cell r="T51">
            <v>11339.075999999999</v>
          </cell>
          <cell r="U51">
            <v>11683.511</v>
          </cell>
          <cell r="V51">
            <v>12038.886</v>
          </cell>
          <cell r="W51">
            <v>12406.04</v>
          </cell>
          <cell r="X51">
            <v>12787.494000000001</v>
          </cell>
          <cell r="Y51">
            <v>13186.56</v>
          </cell>
          <cell r="Z51">
            <v>13605.504000000001</v>
          </cell>
          <cell r="AA51">
            <v>14045.757</v>
          </cell>
          <cell r="AB51">
            <v>14506.495999999999</v>
          </cell>
          <cell r="AC51">
            <v>14984.973</v>
          </cell>
          <cell r="AD51">
            <v>15477.155000000001</v>
          </cell>
          <cell r="AE51">
            <v>15980.264999999999</v>
          </cell>
          <cell r="AF51">
            <v>16493.435000000001</v>
          </cell>
          <cell r="AG51">
            <v>17018.012999999999</v>
          </cell>
          <cell r="AH51">
            <v>17556.148000000001</v>
          </cell>
          <cell r="AI51">
            <v>18110.990000000002</v>
          </cell>
          <cell r="AJ51">
            <v>18684.893</v>
          </cell>
          <cell r="AK51">
            <v>19279.543000000001</v>
          </cell>
          <cell r="AL51">
            <v>19894.677</v>
          </cell>
          <cell r="AM51">
            <v>20528.465</v>
          </cell>
          <cell r="AN51">
            <v>21178.079000000002</v>
          </cell>
          <cell r="AO51">
            <v>21842.087</v>
          </cell>
          <cell r="AP51">
            <v>22516.809000000001</v>
          </cell>
          <cell r="AQ51">
            <v>23204.186000000002</v>
          </cell>
          <cell r="AR51">
            <v>23914.851999999999</v>
          </cell>
          <cell r="AS51">
            <v>24663.284</v>
          </cell>
          <cell r="AT51">
            <v>25458.207999999999</v>
          </cell>
          <cell r="AU51">
            <v>26307.482</v>
          </cell>
          <cell r="AV51">
            <v>27203.865000000002</v>
          </cell>
          <cell r="AW51">
            <v>28122.798999999999</v>
          </cell>
          <cell r="AX51">
            <v>29030.288</v>
          </cell>
          <cell r="AY51">
            <v>29903.329000000002</v>
          </cell>
          <cell r="AZ51">
            <v>30733.937000000002</v>
          </cell>
          <cell r="BA51">
            <v>31533.780999999999</v>
          </cell>
          <cell r="BB51">
            <v>32323.953000000001</v>
          </cell>
          <cell r="BC51">
            <v>33135.281000000003</v>
          </cell>
          <cell r="BD51">
            <v>33991.589999999997</v>
          </cell>
          <cell r="BE51">
            <v>34899.061999999998</v>
          </cell>
          <cell r="BF51">
            <v>35855.480000000003</v>
          </cell>
          <cell r="BG51">
            <v>36866.228000000003</v>
          </cell>
          <cell r="BH51">
            <v>37935.334000000003</v>
          </cell>
          <cell r="BI51">
            <v>39065.599999999999</v>
          </cell>
          <cell r="BJ51">
            <v>40260.847000000002</v>
          </cell>
          <cell r="BK51">
            <v>41522.004000000001</v>
          </cell>
          <cell r="BL51">
            <v>42844.743999999999</v>
          </cell>
          <cell r="BM51">
            <v>44222.112999999998</v>
          </cell>
          <cell r="BN51">
            <v>45648.525000000001</v>
          </cell>
          <cell r="BO51">
            <v>47122.998</v>
          </cell>
          <cell r="BP51">
            <v>48645.709000000003</v>
          </cell>
          <cell r="BQ51">
            <v>50213.457000000002</v>
          </cell>
          <cell r="BR51">
            <v>51822.620999999999</v>
          </cell>
          <cell r="BS51">
            <v>53470.42</v>
          </cell>
        </row>
        <row r="52">
          <cell r="E52">
            <v>894</v>
          </cell>
          <cell r="F52">
            <v>2316.9499999999998</v>
          </cell>
          <cell r="G52">
            <v>2376.0749999999998</v>
          </cell>
          <cell r="H52">
            <v>2438.5749999999998</v>
          </cell>
          <cell r="I52">
            <v>2504.1469999999999</v>
          </cell>
          <cell r="J52">
            <v>2572.6080000000002</v>
          </cell>
          <cell r="K52">
            <v>2643.9059999999999</v>
          </cell>
          <cell r="L52">
            <v>2718.1179999999999</v>
          </cell>
          <cell r="M52">
            <v>2795.451</v>
          </cell>
          <cell r="N52">
            <v>2876.2130000000002</v>
          </cell>
          <cell r="O52">
            <v>2960.799</v>
          </cell>
          <cell r="P52">
            <v>3049.5859999999998</v>
          </cell>
          <cell r="Q52">
            <v>3142.848</v>
          </cell>
          <cell r="R52">
            <v>3240.6640000000002</v>
          </cell>
          <cell r="S52">
            <v>3342.8939999999998</v>
          </cell>
          <cell r="T52">
            <v>3449.2660000000001</v>
          </cell>
          <cell r="U52">
            <v>3559.6869999999999</v>
          </cell>
          <cell r="V52">
            <v>3674.0880000000002</v>
          </cell>
          <cell r="W52">
            <v>3792.864</v>
          </cell>
          <cell r="X52">
            <v>3916.9279999999999</v>
          </cell>
          <cell r="Y52">
            <v>4047.4789999999998</v>
          </cell>
          <cell r="Z52">
            <v>4185.3779999999997</v>
          </cell>
          <cell r="AA52">
            <v>4331.0020000000004</v>
          </cell>
          <cell r="AB52">
            <v>4484.1409999999996</v>
          </cell>
          <cell r="AC52">
            <v>4644.3289999999997</v>
          </cell>
          <cell r="AD52">
            <v>4810.8100000000004</v>
          </cell>
          <cell r="AE52">
            <v>4983.0169999999998</v>
          </cell>
          <cell r="AF52">
            <v>5160.57</v>
          </cell>
          <cell r="AG52">
            <v>5343.55</v>
          </cell>
          <cell r="AH52">
            <v>5532.35</v>
          </cell>
          <cell r="AI52">
            <v>5727.5770000000002</v>
          </cell>
          <cell r="AJ52">
            <v>5929.4970000000003</v>
          </cell>
          <cell r="AK52">
            <v>6138.0690000000004</v>
          </cell>
          <cell r="AL52">
            <v>6352.5609999999997</v>
          </cell>
          <cell r="AM52">
            <v>6571.6729999999998</v>
          </cell>
          <cell r="AN52">
            <v>6793.7079999999996</v>
          </cell>
          <cell r="AO52">
            <v>7017.2920000000004</v>
          </cell>
          <cell r="AP52">
            <v>7242.4960000000001</v>
          </cell>
          <cell r="AQ52">
            <v>7469.27</v>
          </cell>
          <cell r="AR52">
            <v>7696.07</v>
          </cell>
          <cell r="AS52">
            <v>7921.0280000000002</v>
          </cell>
          <cell r="AT52">
            <v>8143.1419999999998</v>
          </cell>
          <cell r="AU52">
            <v>8361.3809999999994</v>
          </cell>
          <cell r="AV52">
            <v>8576.9869999999992</v>
          </cell>
          <cell r="AW52">
            <v>8794.0609999999997</v>
          </cell>
          <cell r="AX52">
            <v>9018.2289999999994</v>
          </cell>
          <cell r="AY52">
            <v>9253.527</v>
          </cell>
          <cell r="AZ52">
            <v>9502.3459999999995</v>
          </cell>
          <cell r="BA52">
            <v>9763.7420000000002</v>
          </cell>
          <cell r="BB52">
            <v>10034.412</v>
          </cell>
          <cell r="BC52">
            <v>10309.31</v>
          </cell>
          <cell r="BD52">
            <v>10585.22</v>
          </cell>
          <cell r="BE52">
            <v>10861.237999999999</v>
          </cell>
          <cell r="BF52">
            <v>11139.977999999999</v>
          </cell>
          <cell r="BG52">
            <v>11426.005999999999</v>
          </cell>
          <cell r="BH52">
            <v>11725.635</v>
          </cell>
          <cell r="BI52">
            <v>12043.591</v>
          </cell>
          <cell r="BJ52">
            <v>12381.509</v>
          </cell>
          <cell r="BK52">
            <v>12738.675999999999</v>
          </cell>
          <cell r="BL52">
            <v>13114.579</v>
          </cell>
          <cell r="BM52">
            <v>13507.849</v>
          </cell>
          <cell r="BN52">
            <v>13917.439</v>
          </cell>
          <cell r="BO52">
            <v>14343.526</v>
          </cell>
          <cell r="BP52">
            <v>14786.581</v>
          </cell>
          <cell r="BQ52">
            <v>15246.085999999999</v>
          </cell>
          <cell r="BR52">
            <v>15721.343000000001</v>
          </cell>
          <cell r="BS52">
            <v>16211.767</v>
          </cell>
        </row>
        <row r="53">
          <cell r="E53">
            <v>716</v>
          </cell>
          <cell r="F53">
            <v>2746.8539999999998</v>
          </cell>
          <cell r="G53">
            <v>2830.4490000000001</v>
          </cell>
          <cell r="H53">
            <v>2918.424</v>
          </cell>
          <cell r="I53">
            <v>3010.1860000000001</v>
          </cell>
          <cell r="J53">
            <v>3105.346</v>
          </cell>
          <cell r="K53">
            <v>3203.7350000000001</v>
          </cell>
          <cell r="L53">
            <v>3305.4029999999998</v>
          </cell>
          <cell r="M53">
            <v>3410.6109999999999</v>
          </cell>
          <cell r="N53">
            <v>3519.806</v>
          </cell>
          <cell r="O53">
            <v>3633.5540000000001</v>
          </cell>
          <cell r="P53">
            <v>3752.39</v>
          </cell>
          <cell r="Q53">
            <v>3876.6379999999999</v>
          </cell>
          <cell r="R53">
            <v>4006.2620000000002</v>
          </cell>
          <cell r="S53">
            <v>4140.8040000000001</v>
          </cell>
          <cell r="T53">
            <v>4279.5609999999997</v>
          </cell>
          <cell r="U53">
            <v>4422.1319999999996</v>
          </cell>
          <cell r="V53">
            <v>4568.32</v>
          </cell>
          <cell r="W53">
            <v>4718.6120000000001</v>
          </cell>
          <cell r="X53">
            <v>4874.1130000000003</v>
          </cell>
          <cell r="Y53">
            <v>5036.3209999999999</v>
          </cell>
          <cell r="Z53">
            <v>5206.3109999999997</v>
          </cell>
          <cell r="AA53">
            <v>5385.3419999999996</v>
          </cell>
          <cell r="AB53">
            <v>5573.3119999999999</v>
          </cell>
          <cell r="AC53">
            <v>5768.3819999999996</v>
          </cell>
          <cell r="AD53">
            <v>5967.8609999999999</v>
          </cell>
          <cell r="AE53">
            <v>6170.2839999999997</v>
          </cell>
          <cell r="AF53">
            <v>6373.9560000000001</v>
          </cell>
          <cell r="AG53">
            <v>6580.7389999999996</v>
          </cell>
          <cell r="AH53">
            <v>6796.9459999999999</v>
          </cell>
          <cell r="AI53">
            <v>7031.1589999999997</v>
          </cell>
          <cell r="AJ53">
            <v>7289.0829999999996</v>
          </cell>
          <cell r="AK53">
            <v>7571.9650000000001</v>
          </cell>
          <cell r="AL53">
            <v>7876.4139999999998</v>
          </cell>
          <cell r="AM53">
            <v>8197.5640000000003</v>
          </cell>
          <cell r="AN53">
            <v>8528.3279999999995</v>
          </cell>
          <cell r="AO53">
            <v>8862.6010000000006</v>
          </cell>
          <cell r="AP53">
            <v>9198.8739999999998</v>
          </cell>
          <cell r="AQ53">
            <v>9535.6569999999992</v>
          </cell>
          <cell r="AR53">
            <v>9866.7759999999998</v>
          </cell>
          <cell r="AS53">
            <v>10184.966</v>
          </cell>
          <cell r="AT53">
            <v>10484.771000000001</v>
          </cell>
          <cell r="AU53">
            <v>10763.036</v>
          </cell>
          <cell r="AV53">
            <v>11019.717000000001</v>
          </cell>
          <cell r="AW53">
            <v>11256.512000000001</v>
          </cell>
          <cell r="AX53">
            <v>11476.807000000001</v>
          </cell>
          <cell r="AY53">
            <v>11683.136</v>
          </cell>
          <cell r="AZ53">
            <v>11877.664000000001</v>
          </cell>
          <cell r="BA53">
            <v>12059.858</v>
          </cell>
          <cell r="BB53">
            <v>12226.742</v>
          </cell>
          <cell r="BC53">
            <v>12374.019</v>
          </cell>
          <cell r="BD53">
            <v>12499.981</v>
          </cell>
          <cell r="BE53">
            <v>12603.987999999999</v>
          </cell>
          <cell r="BF53">
            <v>12691.431</v>
          </cell>
          <cell r="BG53">
            <v>12774.162</v>
          </cell>
          <cell r="BH53">
            <v>12867.828</v>
          </cell>
          <cell r="BI53">
            <v>12984.418</v>
          </cell>
          <cell r="BJ53">
            <v>13127.941999999999</v>
          </cell>
          <cell r="BK53">
            <v>13297.798000000001</v>
          </cell>
          <cell r="BL53">
            <v>13495.462</v>
          </cell>
          <cell r="BM53">
            <v>13720.996999999999</v>
          </cell>
          <cell r="BN53">
            <v>13973.897000000001</v>
          </cell>
          <cell r="BO53">
            <v>14255.592000000001</v>
          </cell>
          <cell r="BP53">
            <v>14565.482</v>
          </cell>
          <cell r="BQ53">
            <v>14898.092000000001</v>
          </cell>
          <cell r="BR53">
            <v>15245.855</v>
          </cell>
          <cell r="BS53">
            <v>15602.751</v>
          </cell>
        </row>
        <row r="54">
          <cell r="E54">
            <v>911</v>
          </cell>
          <cell r="F54">
            <v>26400.57</v>
          </cell>
          <cell r="G54">
            <v>26885.949000000001</v>
          </cell>
          <cell r="H54">
            <v>27387</v>
          </cell>
          <cell r="I54">
            <v>27906.856</v>
          </cell>
          <cell r="J54">
            <v>28448.074000000001</v>
          </cell>
          <cell r="K54">
            <v>29012.635999999999</v>
          </cell>
          <cell r="L54">
            <v>29601.911</v>
          </cell>
          <cell r="M54">
            <v>30216.697</v>
          </cell>
          <cell r="N54">
            <v>30857.289000000001</v>
          </cell>
          <cell r="O54">
            <v>31523.628000000001</v>
          </cell>
          <cell r="P54">
            <v>32215.694</v>
          </cell>
          <cell r="Q54">
            <v>32933.951999999997</v>
          </cell>
          <cell r="R54">
            <v>33679.718999999997</v>
          </cell>
          <cell r="S54">
            <v>34455.339999999997</v>
          </cell>
          <cell r="T54">
            <v>35263.714</v>
          </cell>
          <cell r="U54">
            <v>36106.947</v>
          </cell>
          <cell r="V54">
            <v>36987.305</v>
          </cell>
          <cell r="W54">
            <v>37904.737000000001</v>
          </cell>
          <cell r="X54">
            <v>38856.275000000001</v>
          </cell>
          <cell r="Y54">
            <v>39837.489000000001</v>
          </cell>
          <cell r="Z54">
            <v>40845.824000000001</v>
          </cell>
          <cell r="AA54">
            <v>41880.569000000003</v>
          </cell>
          <cell r="AB54">
            <v>42944.894</v>
          </cell>
          <cell r="AC54">
            <v>44044.906999999999</v>
          </cell>
          <cell r="AD54">
            <v>45188.85</v>
          </cell>
          <cell r="AE54">
            <v>46383.014000000003</v>
          </cell>
          <cell r="AF54">
            <v>47631.014000000003</v>
          </cell>
          <cell r="AG54">
            <v>48932.697999999997</v>
          </cell>
          <cell r="AH54">
            <v>50286.086000000003</v>
          </cell>
          <cell r="AI54">
            <v>51687.438999999998</v>
          </cell>
          <cell r="AJ54">
            <v>53134.779000000002</v>
          </cell>
          <cell r="AK54">
            <v>54632.328999999998</v>
          </cell>
          <cell r="AL54">
            <v>56184.678999999996</v>
          </cell>
          <cell r="AM54">
            <v>57791.15</v>
          </cell>
          <cell r="AN54">
            <v>59450.264999999999</v>
          </cell>
          <cell r="AO54">
            <v>61163.749000000003</v>
          </cell>
          <cell r="AP54">
            <v>62920.91</v>
          </cell>
          <cell r="AQ54">
            <v>64728.743000000002</v>
          </cell>
          <cell r="AR54">
            <v>66626.979000000007</v>
          </cell>
          <cell r="AS54">
            <v>68668.663</v>
          </cell>
          <cell r="AT54">
            <v>70886.433000000005</v>
          </cell>
          <cell r="AU54">
            <v>73308.513999999996</v>
          </cell>
          <cell r="AV54">
            <v>75910.792000000001</v>
          </cell>
          <cell r="AW54">
            <v>78610.239000000001</v>
          </cell>
          <cell r="AX54">
            <v>81291.222999999998</v>
          </cell>
          <cell r="AY54">
            <v>83875.087</v>
          </cell>
          <cell r="AZ54">
            <v>86328.754000000001</v>
          </cell>
          <cell r="BA54">
            <v>88689.650999999998</v>
          </cell>
          <cell r="BB54">
            <v>91036.213000000003</v>
          </cell>
          <cell r="BC54">
            <v>93482.823000000004</v>
          </cell>
          <cell r="BD54">
            <v>96113.260999999999</v>
          </cell>
          <cell r="BE54">
            <v>98952.774000000005</v>
          </cell>
          <cell r="BF54">
            <v>101979.231</v>
          </cell>
          <cell r="BG54">
            <v>105171.79</v>
          </cell>
          <cell r="BH54">
            <v>108492.374</v>
          </cell>
          <cell r="BI54">
            <v>111912.89200000001</v>
          </cell>
          <cell r="BJ54">
            <v>115431.961</v>
          </cell>
          <cell r="BK54">
            <v>119060.91899999999</v>
          </cell>
          <cell r="BL54">
            <v>122798.42200000001</v>
          </cell>
          <cell r="BM54">
            <v>126644.314</v>
          </cell>
          <cell r="BN54">
            <v>130598.289</v>
          </cell>
          <cell r="BO54">
            <v>134658.44899999999</v>
          </cell>
          <cell r="BP54">
            <v>138823.13500000001</v>
          </cell>
          <cell r="BQ54">
            <v>143092.848</v>
          </cell>
          <cell r="BR54">
            <v>147468.799</v>
          </cell>
          <cell r="BS54">
            <v>151951.739</v>
          </cell>
        </row>
        <row r="55">
          <cell r="E55">
            <v>24</v>
          </cell>
          <cell r="F55">
            <v>4354.8819999999996</v>
          </cell>
          <cell r="G55">
            <v>4439.7049999999999</v>
          </cell>
          <cell r="H55">
            <v>4529.3810000000003</v>
          </cell>
          <cell r="I55">
            <v>4621.6909999999998</v>
          </cell>
          <cell r="J55">
            <v>4714.97</v>
          </cell>
          <cell r="K55">
            <v>4808.1139999999996</v>
          </cell>
          <cell r="L55">
            <v>4900.5940000000001</v>
          </cell>
          <cell r="M55">
            <v>4992.4390000000003</v>
          </cell>
          <cell r="N55">
            <v>5084.1660000000002</v>
          </cell>
          <cell r="O55">
            <v>5176.6620000000003</v>
          </cell>
          <cell r="P55">
            <v>5270.8440000000001</v>
          </cell>
          <cell r="Q55">
            <v>5367.2870000000003</v>
          </cell>
          <cell r="R55">
            <v>5465.9049999999997</v>
          </cell>
          <cell r="S55">
            <v>5565.808</v>
          </cell>
          <cell r="T55">
            <v>5665.701</v>
          </cell>
          <cell r="U55">
            <v>5765.0249999999996</v>
          </cell>
          <cell r="V55">
            <v>5863.5680000000002</v>
          </cell>
          <cell r="W55">
            <v>5962.8310000000001</v>
          </cell>
          <cell r="X55">
            <v>6066.0940000000001</v>
          </cell>
          <cell r="Y55">
            <v>6177.7030000000004</v>
          </cell>
          <cell r="Z55">
            <v>6300.9690000000001</v>
          </cell>
          <cell r="AA55">
            <v>6437.6450000000004</v>
          </cell>
          <cell r="AB55">
            <v>6587.6469999999999</v>
          </cell>
          <cell r="AC55">
            <v>6750.2150000000001</v>
          </cell>
          <cell r="AD55">
            <v>6923.7489999999998</v>
          </cell>
          <cell r="AE55">
            <v>7107.3339999999998</v>
          </cell>
          <cell r="AF55">
            <v>7299.5079999999998</v>
          </cell>
          <cell r="AG55">
            <v>7501.32</v>
          </cell>
          <cell r="AH55">
            <v>7717.1390000000001</v>
          </cell>
          <cell r="AI55">
            <v>7952.8819999999996</v>
          </cell>
          <cell r="AJ55">
            <v>8211.9500000000007</v>
          </cell>
          <cell r="AK55">
            <v>8497.9500000000007</v>
          </cell>
          <cell r="AL55">
            <v>8807.5110000000004</v>
          </cell>
          <cell r="AM55">
            <v>9128.6550000000007</v>
          </cell>
          <cell r="AN55">
            <v>9444.9179999999997</v>
          </cell>
          <cell r="AO55">
            <v>9745.2090000000007</v>
          </cell>
          <cell r="AP55">
            <v>10023.700000000001</v>
          </cell>
          <cell r="AQ55">
            <v>10285.712</v>
          </cell>
          <cell r="AR55">
            <v>10544.904</v>
          </cell>
          <cell r="AS55">
            <v>10820.992</v>
          </cell>
          <cell r="AT55">
            <v>11127.87</v>
          </cell>
          <cell r="AU55">
            <v>11472.173000000001</v>
          </cell>
          <cell r="AV55">
            <v>11848.971</v>
          </cell>
          <cell r="AW55">
            <v>12246.786</v>
          </cell>
          <cell r="AX55">
            <v>12648.483</v>
          </cell>
          <cell r="AY55">
            <v>13042.665999999999</v>
          </cell>
          <cell r="AZ55">
            <v>13424.813</v>
          </cell>
          <cell r="BA55">
            <v>13801.868</v>
          </cell>
          <cell r="BB55">
            <v>14187.71</v>
          </cell>
          <cell r="BC55">
            <v>14601.983</v>
          </cell>
          <cell r="BD55">
            <v>15058.638000000001</v>
          </cell>
          <cell r="BE55">
            <v>15562.790999999999</v>
          </cell>
          <cell r="BF55">
            <v>16109.696</v>
          </cell>
          <cell r="BG55">
            <v>16691.395</v>
          </cell>
          <cell r="BH55">
            <v>17295.5</v>
          </cell>
          <cell r="BI55">
            <v>17912.941999999999</v>
          </cell>
          <cell r="BJ55">
            <v>18541.467000000001</v>
          </cell>
          <cell r="BK55">
            <v>19183.906999999999</v>
          </cell>
          <cell r="BL55">
            <v>19842.251</v>
          </cell>
          <cell r="BM55">
            <v>20520.102999999999</v>
          </cell>
          <cell r="BN55">
            <v>21219.954000000002</v>
          </cell>
          <cell r="BO55">
            <v>21942.295999999998</v>
          </cell>
          <cell r="BP55">
            <v>22685.632000000001</v>
          </cell>
          <cell r="BQ55">
            <v>23448.202000000001</v>
          </cell>
          <cell r="BR55">
            <v>24227.524000000001</v>
          </cell>
          <cell r="BS55">
            <v>25021.973999999998</v>
          </cell>
        </row>
        <row r="56">
          <cell r="E56">
            <v>120</v>
          </cell>
          <cell r="F56">
            <v>4466.4979999999996</v>
          </cell>
          <cell r="G56">
            <v>4544.2179999999998</v>
          </cell>
          <cell r="H56">
            <v>4623.4709999999995</v>
          </cell>
          <cell r="I56">
            <v>4704.5559999999996</v>
          </cell>
          <cell r="J56">
            <v>4787.8320000000003</v>
          </cell>
          <cell r="K56">
            <v>4873.7259999999997</v>
          </cell>
          <cell r="L56">
            <v>4962.7259999999997</v>
          </cell>
          <cell r="M56">
            <v>5055.3860000000004</v>
          </cell>
          <cell r="N56">
            <v>5152.3069999999998</v>
          </cell>
          <cell r="O56">
            <v>5254.11</v>
          </cell>
          <cell r="P56">
            <v>5361.3670000000002</v>
          </cell>
          <cell r="Q56">
            <v>5474.509</v>
          </cell>
          <cell r="R56">
            <v>5593.768</v>
          </cell>
          <cell r="S56">
            <v>5719.1350000000002</v>
          </cell>
          <cell r="T56">
            <v>5850.4539999999997</v>
          </cell>
          <cell r="U56">
            <v>5987.6710000000003</v>
          </cell>
          <cell r="V56">
            <v>6130.99</v>
          </cell>
          <cell r="W56">
            <v>6280.7430000000004</v>
          </cell>
          <cell r="X56">
            <v>6437.1570000000002</v>
          </cell>
          <cell r="Y56">
            <v>6600.4790000000003</v>
          </cell>
          <cell r="Z56">
            <v>6770.9669999999996</v>
          </cell>
          <cell r="AA56">
            <v>6948.8469999999998</v>
          </cell>
          <cell r="AB56">
            <v>7134.3739999999998</v>
          </cell>
          <cell r="AC56">
            <v>7327.8739999999998</v>
          </cell>
          <cell r="AD56">
            <v>7529.7039999999997</v>
          </cell>
          <cell r="AE56">
            <v>7740.1959999999999</v>
          </cell>
          <cell r="AF56">
            <v>7959.5</v>
          </cell>
          <cell r="AG56">
            <v>8187.84</v>
          </cell>
          <cell r="AH56">
            <v>8425.7070000000003</v>
          </cell>
          <cell r="AI56">
            <v>8673.6659999999993</v>
          </cell>
          <cell r="AJ56">
            <v>8932.1209999999992</v>
          </cell>
          <cell r="AK56">
            <v>9201.1460000000006</v>
          </cell>
          <cell r="AL56">
            <v>9480.6380000000008</v>
          </cell>
          <cell r="AM56">
            <v>9770.5550000000003</v>
          </cell>
          <cell r="AN56">
            <v>10070.779</v>
          </cell>
          <cell r="AO56">
            <v>10381.098</v>
          </cell>
          <cell r="AP56">
            <v>10701.458000000001</v>
          </cell>
          <cell r="AQ56">
            <v>11031.514999999999</v>
          </cell>
          <cell r="AR56">
            <v>11370.394</v>
          </cell>
          <cell r="AS56">
            <v>11716.975</v>
          </cell>
          <cell r="AT56">
            <v>12070.359</v>
          </cell>
          <cell r="AU56">
            <v>12430.311</v>
          </cell>
          <cell r="AV56">
            <v>12796.739</v>
          </cell>
          <cell r="AW56">
            <v>13169.1</v>
          </cell>
          <cell r="AX56">
            <v>13546.823</v>
          </cell>
          <cell r="AY56">
            <v>13929.575000000001</v>
          </cell>
          <cell r="AZ56">
            <v>14317.191000000001</v>
          </cell>
          <cell r="BA56">
            <v>14709.960999999999</v>
          </cell>
          <cell r="BB56">
            <v>15108.63</v>
          </cell>
          <cell r="BC56">
            <v>15514.249</v>
          </cell>
          <cell r="BD56">
            <v>15927.713</v>
          </cell>
          <cell r="BE56">
            <v>16349.364</v>
          </cell>
          <cell r="BF56">
            <v>16779.434000000001</v>
          </cell>
          <cell r="BG56">
            <v>17218.591</v>
          </cell>
          <cell r="BH56">
            <v>17667.576000000001</v>
          </cell>
          <cell r="BI56">
            <v>18126.999</v>
          </cell>
          <cell r="BJ56">
            <v>18597.109</v>
          </cell>
          <cell r="BK56">
            <v>19078.099999999999</v>
          </cell>
          <cell r="BL56">
            <v>19570.418000000001</v>
          </cell>
          <cell r="BM56">
            <v>20074.522000000001</v>
          </cell>
          <cell r="BN56">
            <v>20590.666000000001</v>
          </cell>
          <cell r="BO56">
            <v>21119.064999999999</v>
          </cell>
          <cell r="BP56">
            <v>21659.488000000001</v>
          </cell>
          <cell r="BQ56">
            <v>22211.166000000001</v>
          </cell>
          <cell r="BR56">
            <v>22773.013999999999</v>
          </cell>
          <cell r="BS56">
            <v>23344.179</v>
          </cell>
        </row>
        <row r="57">
          <cell r="E57">
            <v>140</v>
          </cell>
          <cell r="F57">
            <v>1326.653</v>
          </cell>
          <cell r="G57">
            <v>1339.8420000000001</v>
          </cell>
          <cell r="H57">
            <v>1353.47</v>
          </cell>
          <cell r="I57">
            <v>1367.8050000000001</v>
          </cell>
          <cell r="J57">
            <v>1383.078</v>
          </cell>
          <cell r="K57">
            <v>1399.4929999999999</v>
          </cell>
          <cell r="L57">
            <v>1417.2180000000001</v>
          </cell>
          <cell r="M57">
            <v>1436.3920000000001</v>
          </cell>
          <cell r="N57">
            <v>1457.1179999999999</v>
          </cell>
          <cell r="O57">
            <v>1479.472</v>
          </cell>
          <cell r="P57">
            <v>1503.501</v>
          </cell>
          <cell r="Q57">
            <v>1529.229</v>
          </cell>
          <cell r="R57">
            <v>1556.6559999999999</v>
          </cell>
          <cell r="S57">
            <v>1585.7650000000001</v>
          </cell>
          <cell r="T57">
            <v>1616.5150000000001</v>
          </cell>
          <cell r="U57">
            <v>1648.83</v>
          </cell>
          <cell r="V57">
            <v>1682.874</v>
          </cell>
          <cell r="W57">
            <v>1718.558</v>
          </cell>
          <cell r="X57">
            <v>1755.26</v>
          </cell>
          <cell r="Y57">
            <v>1792.15</v>
          </cell>
          <cell r="Z57">
            <v>1828.71</v>
          </cell>
          <cell r="AA57">
            <v>1864.7570000000001</v>
          </cell>
          <cell r="AB57">
            <v>1900.702</v>
          </cell>
          <cell r="AC57">
            <v>1937.383</v>
          </cell>
          <cell r="AD57">
            <v>1975.9680000000001</v>
          </cell>
          <cell r="AE57">
            <v>2017.3789999999999</v>
          </cell>
          <cell r="AF57">
            <v>2061.5520000000001</v>
          </cell>
          <cell r="AG57">
            <v>2108.4169999999999</v>
          </cell>
          <cell r="AH57">
            <v>2158.8440000000001</v>
          </cell>
          <cell r="AI57">
            <v>2213.8879999999999</v>
          </cell>
          <cell r="AJ57">
            <v>2274.0949999999998</v>
          </cell>
          <cell r="AK57">
            <v>2340.259</v>
          </cell>
          <cell r="AL57">
            <v>2411.6930000000002</v>
          </cell>
          <cell r="AM57">
            <v>2485.6660000000002</v>
          </cell>
          <cell r="AN57">
            <v>2558.4319999999998</v>
          </cell>
          <cell r="AO57">
            <v>2627.424</v>
          </cell>
          <cell r="AP57">
            <v>2691.3119999999999</v>
          </cell>
          <cell r="AQ57">
            <v>2751.163</v>
          </cell>
          <cell r="AR57">
            <v>2809.72</v>
          </cell>
          <cell r="AS57">
            <v>2871.0050000000001</v>
          </cell>
          <cell r="AT57">
            <v>2937.8319999999999</v>
          </cell>
          <cell r="AU57">
            <v>3010.95</v>
          </cell>
          <cell r="AV57">
            <v>3089.1410000000001</v>
          </cell>
          <cell r="AW57">
            <v>3170.848</v>
          </cell>
          <cell r="AX57">
            <v>3253.6979999999999</v>
          </cell>
          <cell r="AY57">
            <v>3335.84</v>
          </cell>
          <cell r="AZ57">
            <v>3417.163</v>
          </cell>
          <cell r="BA57">
            <v>3497.91</v>
          </cell>
          <cell r="BB57">
            <v>3577.0279999999998</v>
          </cell>
          <cell r="BC57">
            <v>3653.31</v>
          </cell>
          <cell r="BD57">
            <v>3726.0479999999998</v>
          </cell>
          <cell r="BE57">
            <v>3794.6770000000001</v>
          </cell>
          <cell r="BF57">
            <v>3859.7840000000001</v>
          </cell>
          <cell r="BG57">
            <v>3923.2939999999999</v>
          </cell>
          <cell r="BH57">
            <v>3987.8960000000002</v>
          </cell>
          <cell r="BI57">
            <v>4055.6080000000002</v>
          </cell>
          <cell r="BJ57">
            <v>4127.1120000000001</v>
          </cell>
          <cell r="BK57">
            <v>4202.1040000000003</v>
          </cell>
          <cell r="BL57">
            <v>4280.4049999999997</v>
          </cell>
          <cell r="BM57">
            <v>4361.4920000000002</v>
          </cell>
          <cell r="BN57">
            <v>4444.973</v>
          </cell>
          <cell r="BO57">
            <v>4530.9030000000002</v>
          </cell>
          <cell r="BP57">
            <v>4619.5</v>
          </cell>
          <cell r="BQ57">
            <v>4710.6779999999999</v>
          </cell>
          <cell r="BR57">
            <v>4804.3159999999998</v>
          </cell>
          <cell r="BS57">
            <v>4900.2740000000003</v>
          </cell>
        </row>
        <row r="58">
          <cell r="E58">
            <v>148</v>
          </cell>
          <cell r="F58">
            <v>2502.3139999999999</v>
          </cell>
          <cell r="G58">
            <v>2544.1019999999999</v>
          </cell>
          <cell r="H58">
            <v>2589.2779999999998</v>
          </cell>
          <cell r="I58">
            <v>2636.7849999999999</v>
          </cell>
          <cell r="J58">
            <v>2685.8420000000001</v>
          </cell>
          <cell r="K58">
            <v>2735.9360000000001</v>
          </cell>
          <cell r="L58">
            <v>2786.8440000000001</v>
          </cell>
          <cell r="M58">
            <v>2838.6120000000001</v>
          </cell>
          <cell r="N58">
            <v>2891.5259999999998</v>
          </cell>
          <cell r="O58">
            <v>2946.04</v>
          </cell>
          <cell r="P58">
            <v>3002.596</v>
          </cell>
          <cell r="Q58">
            <v>3061.4229999999998</v>
          </cell>
          <cell r="R58">
            <v>3122.357</v>
          </cell>
          <cell r="S58">
            <v>3184.7750000000001</v>
          </cell>
          <cell r="T58">
            <v>3247.7979999999998</v>
          </cell>
          <cell r="U58">
            <v>3310.9209999999998</v>
          </cell>
          <cell r="V58">
            <v>3373.5630000000001</v>
          </cell>
          <cell r="W58">
            <v>3436.2269999999999</v>
          </cell>
          <cell r="X58">
            <v>3500.7779999999998</v>
          </cell>
          <cell r="Y58">
            <v>3569.7779999999998</v>
          </cell>
          <cell r="Z58">
            <v>3644.9110000000001</v>
          </cell>
          <cell r="AA58">
            <v>3727.3820000000001</v>
          </cell>
          <cell r="AB58">
            <v>3816.299</v>
          </cell>
          <cell r="AC58">
            <v>3908.7289999999998</v>
          </cell>
          <cell r="AD58">
            <v>4000.511</v>
          </cell>
          <cell r="AE58">
            <v>4088.8580000000002</v>
          </cell>
          <cell r="AF58">
            <v>4173.07</v>
          </cell>
          <cell r="AG58">
            <v>4254.7700000000004</v>
          </cell>
          <cell r="AH58">
            <v>4336.3890000000001</v>
          </cell>
          <cell r="AI58">
            <v>4421.4480000000003</v>
          </cell>
          <cell r="AJ58">
            <v>4512.7950000000001</v>
          </cell>
          <cell r="AK58">
            <v>4610.9639999999999</v>
          </cell>
          <cell r="AL58">
            <v>4716.0730000000003</v>
          </cell>
          <cell r="AM58">
            <v>4830.0550000000003</v>
          </cell>
          <cell r="AN58">
            <v>4955.0879999999997</v>
          </cell>
          <cell r="AO58">
            <v>5092.6499999999996</v>
          </cell>
          <cell r="AP58">
            <v>5244.1580000000004</v>
          </cell>
          <cell r="AQ58">
            <v>5409.2749999999996</v>
          </cell>
          <cell r="AR58">
            <v>5585.5280000000002</v>
          </cell>
          <cell r="AS58">
            <v>5769.2730000000001</v>
          </cell>
          <cell r="AT58">
            <v>5958.0219999999999</v>
          </cell>
          <cell r="AU58">
            <v>6151.2129999999997</v>
          </cell>
          <cell r="AV58">
            <v>6350.174</v>
          </cell>
          <cell r="AW58">
            <v>6556.6279999999997</v>
          </cell>
          <cell r="AX58">
            <v>6773.1040000000003</v>
          </cell>
          <cell r="AY58">
            <v>7001.634</v>
          </cell>
          <cell r="AZ58">
            <v>7242.018</v>
          </cell>
          <cell r="BA58">
            <v>7494.143</v>
          </cell>
          <cell r="BB58">
            <v>7760.1570000000002</v>
          </cell>
          <cell r="BC58">
            <v>8042.7129999999997</v>
          </cell>
          <cell r="BD58">
            <v>8343.3209999999999</v>
          </cell>
          <cell r="BE58">
            <v>8663.5990000000002</v>
          </cell>
          <cell r="BF58">
            <v>9002.1020000000008</v>
          </cell>
          <cell r="BG58">
            <v>9353.5159999999996</v>
          </cell>
          <cell r="BH58">
            <v>9710.4979999999996</v>
          </cell>
          <cell r="BI58">
            <v>10067.932000000001</v>
          </cell>
          <cell r="BJ58">
            <v>10423.616</v>
          </cell>
          <cell r="BK58">
            <v>10779.504000000001</v>
          </cell>
          <cell r="BL58">
            <v>11139.74</v>
          </cell>
          <cell r="BM58">
            <v>11510.535</v>
          </cell>
          <cell r="BN58">
            <v>11896.38</v>
          </cell>
          <cell r="BO58">
            <v>12298.512000000001</v>
          </cell>
          <cell r="BP58">
            <v>12715.465</v>
          </cell>
          <cell r="BQ58">
            <v>13145.788</v>
          </cell>
          <cell r="BR58">
            <v>13587.053</v>
          </cell>
          <cell r="BS58">
            <v>14037.472</v>
          </cell>
        </row>
        <row r="59">
          <cell r="E59">
            <v>178</v>
          </cell>
          <cell r="F59">
            <v>807.726</v>
          </cell>
          <cell r="G59">
            <v>824.12900000000002</v>
          </cell>
          <cell r="H59">
            <v>841.47299999999996</v>
          </cell>
          <cell r="I59">
            <v>859.71400000000006</v>
          </cell>
          <cell r="J59">
            <v>878.83399999999995</v>
          </cell>
          <cell r="K59">
            <v>898.83199999999999</v>
          </cell>
          <cell r="L59">
            <v>919.73500000000001</v>
          </cell>
          <cell r="M59">
            <v>941.59</v>
          </cell>
          <cell r="N59">
            <v>964.46100000000001</v>
          </cell>
          <cell r="O59">
            <v>988.43299999999999</v>
          </cell>
          <cell r="P59">
            <v>1013.581</v>
          </cell>
          <cell r="Q59">
            <v>1039.9659999999999</v>
          </cell>
          <cell r="R59">
            <v>1067.6110000000001</v>
          </cell>
          <cell r="S59">
            <v>1096.502</v>
          </cell>
          <cell r="T59">
            <v>1126.6020000000001</v>
          </cell>
          <cell r="U59">
            <v>1157.905</v>
          </cell>
          <cell r="V59">
            <v>1190.3610000000001</v>
          </cell>
          <cell r="W59">
            <v>1224.0409999999999</v>
          </cell>
          <cell r="X59">
            <v>1259.19</v>
          </cell>
          <cell r="Y59">
            <v>1296.1369999999999</v>
          </cell>
          <cell r="Z59">
            <v>1335.09</v>
          </cell>
          <cell r="AA59">
            <v>1376.1890000000001</v>
          </cell>
          <cell r="AB59">
            <v>1419.3050000000001</v>
          </cell>
          <cell r="AC59">
            <v>1464.0519999999999</v>
          </cell>
          <cell r="AD59">
            <v>1509.88</v>
          </cell>
          <cell r="AE59">
            <v>1556.4059999999999</v>
          </cell>
          <cell r="AF59">
            <v>1603.4459999999999</v>
          </cell>
          <cell r="AG59">
            <v>1651.134</v>
          </cell>
          <cell r="AH59">
            <v>1699.7809999999999</v>
          </cell>
          <cell r="AI59">
            <v>1749.8589999999999</v>
          </cell>
          <cell r="AJ59">
            <v>1801.6880000000001</v>
          </cell>
          <cell r="AK59">
            <v>1855.3910000000001</v>
          </cell>
          <cell r="AL59">
            <v>1910.8</v>
          </cell>
          <cell r="AM59">
            <v>1967.596</v>
          </cell>
          <cell r="AN59">
            <v>2025.32</v>
          </cell>
          <cell r="AO59">
            <v>2083.6480000000001</v>
          </cell>
          <cell r="AP59">
            <v>2142.529</v>
          </cell>
          <cell r="AQ59">
            <v>2202.1060000000002</v>
          </cell>
          <cell r="AR59">
            <v>2262.4960000000001</v>
          </cell>
          <cell r="AS59">
            <v>2323.89</v>
          </cell>
          <cell r="AT59">
            <v>2386.4670000000001</v>
          </cell>
          <cell r="AU59">
            <v>2450.125</v>
          </cell>
          <cell r="AV59">
            <v>2514.9070000000002</v>
          </cell>
          <cell r="AW59">
            <v>2581.306</v>
          </cell>
          <cell r="AX59">
            <v>2649.9639999999999</v>
          </cell>
          <cell r="AY59">
            <v>2721.277</v>
          </cell>
          <cell r="AZ59">
            <v>2795.9029999999998</v>
          </cell>
          <cell r="BA59">
            <v>2873.6379999999999</v>
          </cell>
          <cell r="BB59">
            <v>2953.011</v>
          </cell>
          <cell r="BC59">
            <v>3031.9690000000001</v>
          </cell>
          <cell r="BD59">
            <v>3109.2689999999998</v>
          </cell>
          <cell r="BE59">
            <v>3183.8829999999998</v>
          </cell>
          <cell r="BF59">
            <v>3256.8670000000002</v>
          </cell>
          <cell r="BG59">
            <v>3331.5639999999999</v>
          </cell>
          <cell r="BH59">
            <v>3412.5920000000001</v>
          </cell>
          <cell r="BI59">
            <v>3503.0859999999998</v>
          </cell>
          <cell r="BJ59">
            <v>3604.5949999999998</v>
          </cell>
          <cell r="BK59">
            <v>3715.665</v>
          </cell>
          <cell r="BL59">
            <v>3832.7710000000002</v>
          </cell>
          <cell r="BM59">
            <v>3950.7860000000001</v>
          </cell>
          <cell r="BN59">
            <v>4066.078</v>
          </cell>
          <cell r="BO59">
            <v>4177.4350000000004</v>
          </cell>
          <cell r="BP59">
            <v>4286.1880000000001</v>
          </cell>
          <cell r="BQ59">
            <v>4394.3339999999998</v>
          </cell>
          <cell r="BR59">
            <v>4504.9620000000004</v>
          </cell>
          <cell r="BS59">
            <v>4620.33</v>
          </cell>
        </row>
        <row r="60">
          <cell r="E60">
            <v>180</v>
          </cell>
          <cell r="F60">
            <v>12183.661</v>
          </cell>
          <cell r="G60">
            <v>12428.829</v>
          </cell>
          <cell r="H60">
            <v>12680.933999999999</v>
          </cell>
          <cell r="I60">
            <v>12944.393</v>
          </cell>
          <cell r="J60">
            <v>13222.519</v>
          </cell>
          <cell r="K60">
            <v>13517.519</v>
          </cell>
          <cell r="L60">
            <v>13830.444</v>
          </cell>
          <cell r="M60">
            <v>14161.242</v>
          </cell>
          <cell r="N60">
            <v>14508.911</v>
          </cell>
          <cell r="O60">
            <v>14871.771000000001</v>
          </cell>
          <cell r="P60">
            <v>15248.245999999999</v>
          </cell>
          <cell r="Q60">
            <v>15637.715</v>
          </cell>
          <cell r="R60">
            <v>16041.246999999999</v>
          </cell>
          <cell r="S60">
            <v>16461.914000000001</v>
          </cell>
          <cell r="T60">
            <v>16903.899000000001</v>
          </cell>
          <cell r="U60">
            <v>17369.859</v>
          </cell>
          <cell r="V60">
            <v>17861.86</v>
          </cell>
          <cell r="W60">
            <v>18378.188999999998</v>
          </cell>
          <cell r="X60">
            <v>18913.177</v>
          </cell>
          <cell r="Y60">
            <v>19458.874</v>
          </cell>
          <cell r="Z60">
            <v>20009.901999999998</v>
          </cell>
          <cell r="AA60">
            <v>20563.111000000001</v>
          </cell>
          <cell r="AB60">
            <v>21120.995999999999</v>
          </cell>
          <cell r="AC60">
            <v>21690.603999999999</v>
          </cell>
          <cell r="AD60">
            <v>22282.079000000002</v>
          </cell>
          <cell r="AE60">
            <v>22902.275000000001</v>
          </cell>
          <cell r="AF60">
            <v>23556.784</v>
          </cell>
          <cell r="AG60">
            <v>24242.643</v>
          </cell>
          <cell r="AH60">
            <v>24948.113000000001</v>
          </cell>
          <cell r="AI60">
            <v>25656.486000000001</v>
          </cell>
          <cell r="AJ60">
            <v>26357.406999999999</v>
          </cell>
          <cell r="AK60">
            <v>27049.145</v>
          </cell>
          <cell r="AL60">
            <v>27741.103999999999</v>
          </cell>
          <cell r="AM60">
            <v>28448.121999999999</v>
          </cell>
          <cell r="AN60">
            <v>29190.679</v>
          </cell>
          <cell r="AO60">
            <v>29985.665000000001</v>
          </cell>
          <cell r="AP60">
            <v>30829.102999999999</v>
          </cell>
          <cell r="AQ60">
            <v>31721.541000000001</v>
          </cell>
          <cell r="AR60">
            <v>32688.707999999999</v>
          </cell>
          <cell r="AS60">
            <v>33763.055999999997</v>
          </cell>
          <cell r="AT60">
            <v>34962.675999999999</v>
          </cell>
          <cell r="AU60">
            <v>36309.209000000003</v>
          </cell>
          <cell r="AV60">
            <v>37783.834999999999</v>
          </cell>
          <cell r="AW60">
            <v>39314.955000000002</v>
          </cell>
          <cell r="AX60">
            <v>40804.010999999999</v>
          </cell>
          <cell r="AY60">
            <v>42183.62</v>
          </cell>
          <cell r="AZ60">
            <v>43424.997000000003</v>
          </cell>
          <cell r="BA60">
            <v>44558.347000000002</v>
          </cell>
          <cell r="BB60">
            <v>45647.949000000001</v>
          </cell>
          <cell r="BC60">
            <v>46788.237999999998</v>
          </cell>
          <cell r="BD60">
            <v>48048.663999999997</v>
          </cell>
          <cell r="BE60">
            <v>49449.014999999999</v>
          </cell>
          <cell r="BF60">
            <v>50971.406999999999</v>
          </cell>
          <cell r="BG60">
            <v>52602.207999999999</v>
          </cell>
          <cell r="BH60">
            <v>54314.855000000003</v>
          </cell>
          <cell r="BI60">
            <v>56089.536</v>
          </cell>
          <cell r="BJ60">
            <v>57926.84</v>
          </cell>
          <cell r="BK60">
            <v>59834.875</v>
          </cell>
          <cell r="BL60">
            <v>61809.277999999998</v>
          </cell>
          <cell r="BM60">
            <v>63845.097000000002</v>
          </cell>
          <cell r="BN60">
            <v>65938.712</v>
          </cell>
          <cell r="BO60">
            <v>68087.376000000004</v>
          </cell>
          <cell r="BP60">
            <v>70291.16</v>
          </cell>
          <cell r="BQ60">
            <v>72552.861000000004</v>
          </cell>
          <cell r="BR60">
            <v>74877.03</v>
          </cell>
          <cell r="BS60">
            <v>77266.813999999998</v>
          </cell>
        </row>
        <row r="61">
          <cell r="E61">
            <v>226</v>
          </cell>
          <cell r="F61">
            <v>225.536</v>
          </cell>
          <cell r="G61">
            <v>230.05699999999999</v>
          </cell>
          <cell r="H61">
            <v>232.75700000000001</v>
          </cell>
          <cell r="I61">
            <v>234.512</v>
          </cell>
          <cell r="J61">
            <v>235.99299999999999</v>
          </cell>
          <cell r="K61">
            <v>237.67599999999999</v>
          </cell>
          <cell r="L61">
            <v>239.82599999999999</v>
          </cell>
          <cell r="M61">
            <v>242.50899999999999</v>
          </cell>
          <cell r="N61">
            <v>245.61699999999999</v>
          </cell>
          <cell r="O61">
            <v>248.905</v>
          </cell>
          <cell r="P61">
            <v>252.11500000000001</v>
          </cell>
          <cell r="Q61">
            <v>255.1</v>
          </cell>
          <cell r="R61">
            <v>257.94</v>
          </cell>
          <cell r="S61">
            <v>260.99</v>
          </cell>
          <cell r="T61">
            <v>264.74299999999999</v>
          </cell>
          <cell r="U61">
            <v>269.42700000000002</v>
          </cell>
          <cell r="V61">
            <v>275.47000000000003</v>
          </cell>
          <cell r="W61">
            <v>282.44499999999999</v>
          </cell>
          <cell r="X61">
            <v>288.70100000000002</v>
          </cell>
          <cell r="Y61">
            <v>292.01400000000001</v>
          </cell>
          <cell r="Z61">
            <v>290.90499999999997</v>
          </cell>
          <cell r="AA61">
            <v>284.91500000000002</v>
          </cell>
          <cell r="AB61">
            <v>274.90600000000001</v>
          </cell>
          <cell r="AC61">
            <v>262.399</v>
          </cell>
          <cell r="AD61">
            <v>249.58699999999999</v>
          </cell>
          <cell r="AE61">
            <v>238.24</v>
          </cell>
          <cell r="AF61">
            <v>228.49100000000001</v>
          </cell>
          <cell r="AG61">
            <v>220.352</v>
          </cell>
          <cell r="AH61">
            <v>215.28399999999999</v>
          </cell>
          <cell r="AI61">
            <v>215.01400000000001</v>
          </cell>
          <cell r="AJ61">
            <v>220.60499999999999</v>
          </cell>
          <cell r="AK61">
            <v>232.934</v>
          </cell>
          <cell r="AL61">
            <v>251.30099999999999</v>
          </cell>
          <cell r="AM61">
            <v>273.19900000000001</v>
          </cell>
          <cell r="AN61">
            <v>295.08999999999997</v>
          </cell>
          <cell r="AO61">
            <v>314.40699999999998</v>
          </cell>
          <cell r="AP61">
            <v>330.24700000000001</v>
          </cell>
          <cell r="AQ61">
            <v>343.29</v>
          </cell>
          <cell r="AR61">
            <v>354.488</v>
          </cell>
          <cell r="AS61">
            <v>365.45100000000002</v>
          </cell>
          <cell r="AT61">
            <v>377.363</v>
          </cell>
          <cell r="AU61">
            <v>390.38099999999997</v>
          </cell>
          <cell r="AV61">
            <v>404.08100000000002</v>
          </cell>
          <cell r="AW61">
            <v>418.40899999999999</v>
          </cell>
          <cell r="AX61">
            <v>433.197</v>
          </cell>
          <cell r="AY61">
            <v>448.33199999999999</v>
          </cell>
          <cell r="AZ61">
            <v>463.84399999999999</v>
          </cell>
          <cell r="BA61">
            <v>479.83600000000001</v>
          </cell>
          <cell r="BB61">
            <v>496.33</v>
          </cell>
          <cell r="BC61">
            <v>513.34699999999998</v>
          </cell>
          <cell r="BD61">
            <v>530.89599999999996</v>
          </cell>
          <cell r="BE61">
            <v>549.00699999999995</v>
          </cell>
          <cell r="BF61">
            <v>567.66399999999999</v>
          </cell>
          <cell r="BG61">
            <v>586.77200000000005</v>
          </cell>
          <cell r="BH61">
            <v>606.20100000000002</v>
          </cell>
          <cell r="BI61">
            <v>625.86599999999999</v>
          </cell>
          <cell r="BJ61">
            <v>645.71799999999996</v>
          </cell>
          <cell r="BK61">
            <v>665.798</v>
          </cell>
          <cell r="BL61">
            <v>686.22299999999996</v>
          </cell>
          <cell r="BM61">
            <v>707.15499999999997</v>
          </cell>
          <cell r="BN61">
            <v>728.71</v>
          </cell>
          <cell r="BO61">
            <v>750.91800000000001</v>
          </cell>
          <cell r="BP61">
            <v>773.72900000000004</v>
          </cell>
          <cell r="BQ61">
            <v>797.08199999999999</v>
          </cell>
          <cell r="BR61">
            <v>820.88499999999999</v>
          </cell>
          <cell r="BS61">
            <v>845.06</v>
          </cell>
        </row>
        <row r="62">
          <cell r="E62">
            <v>266</v>
          </cell>
          <cell r="F62">
            <v>473.3</v>
          </cell>
          <cell r="G62">
            <v>475.86399999999998</v>
          </cell>
          <cell r="H62">
            <v>477.71100000000001</v>
          </cell>
          <cell r="I62">
            <v>479.23700000000002</v>
          </cell>
          <cell r="J62">
            <v>480.76799999999997</v>
          </cell>
          <cell r="K62">
            <v>482.55799999999999</v>
          </cell>
          <cell r="L62">
            <v>484.78</v>
          </cell>
          <cell r="M62">
            <v>487.53699999999998</v>
          </cell>
          <cell r="N62">
            <v>490.86700000000002</v>
          </cell>
          <cell r="O62">
            <v>494.75900000000001</v>
          </cell>
          <cell r="P62">
            <v>499.18900000000002</v>
          </cell>
          <cell r="Q62">
            <v>504.17399999999998</v>
          </cell>
          <cell r="R62">
            <v>509.80599999999998</v>
          </cell>
          <cell r="S62">
            <v>516.27</v>
          </cell>
          <cell r="T62">
            <v>523.79300000000001</v>
          </cell>
          <cell r="U62">
            <v>532.51199999999994</v>
          </cell>
          <cell r="V62">
            <v>542.56200000000001</v>
          </cell>
          <cell r="W62">
            <v>553.82899999999995</v>
          </cell>
          <cell r="X62">
            <v>565.87800000000004</v>
          </cell>
          <cell r="Y62">
            <v>578.11400000000003</v>
          </cell>
          <cell r="Z62">
            <v>590.11900000000003</v>
          </cell>
          <cell r="AA62">
            <v>601.73400000000004</v>
          </cell>
          <cell r="AB62">
            <v>613.12900000000002</v>
          </cell>
          <cell r="AC62">
            <v>624.625</v>
          </cell>
          <cell r="AD62">
            <v>636.702</v>
          </cell>
          <cell r="AE62">
            <v>649.71900000000005</v>
          </cell>
          <cell r="AF62">
            <v>663.774</v>
          </cell>
          <cell r="AG62">
            <v>678.78599999999994</v>
          </cell>
          <cell r="AH62">
            <v>694.73400000000004</v>
          </cell>
          <cell r="AI62">
            <v>711.54399999999998</v>
          </cell>
          <cell r="AJ62">
            <v>729.16499999999996</v>
          </cell>
          <cell r="AK62">
            <v>747.59299999999996</v>
          </cell>
          <cell r="AL62">
            <v>766.86699999999996</v>
          </cell>
          <cell r="AM62">
            <v>787.01700000000005</v>
          </cell>
          <cell r="AN62">
            <v>808.08799999999997</v>
          </cell>
          <cell r="AO62">
            <v>830.09100000000001</v>
          </cell>
          <cell r="AP62">
            <v>853.03899999999999</v>
          </cell>
          <cell r="AQ62">
            <v>876.87699999999995</v>
          </cell>
          <cell r="AR62">
            <v>901.47299999999996</v>
          </cell>
          <cell r="AS62">
            <v>926.64800000000002</v>
          </cell>
          <cell r="AT62">
            <v>952.26900000000001</v>
          </cell>
          <cell r="AU62">
            <v>978.25199999999995</v>
          </cell>
          <cell r="AV62">
            <v>1004.598</v>
          </cell>
          <cell r="AW62">
            <v>1031.3579999999999</v>
          </cell>
          <cell r="AX62">
            <v>1058.625</v>
          </cell>
          <cell r="AY62">
            <v>1086.4490000000001</v>
          </cell>
          <cell r="AZ62">
            <v>1114.8789999999999</v>
          </cell>
          <cell r="BA62">
            <v>1143.838</v>
          </cell>
          <cell r="BB62">
            <v>1173.114</v>
          </cell>
          <cell r="BC62">
            <v>1202.412</v>
          </cell>
          <cell r="BD62">
            <v>1231.548</v>
          </cell>
          <cell r="BE62">
            <v>1260.4349999999999</v>
          </cell>
          <cell r="BF62">
            <v>1289.192</v>
          </cell>
          <cell r="BG62">
            <v>1318.0930000000001</v>
          </cell>
          <cell r="BH62">
            <v>1347.5239999999999</v>
          </cell>
          <cell r="BI62">
            <v>1377.777</v>
          </cell>
          <cell r="BJ62">
            <v>1408.92</v>
          </cell>
          <cell r="BK62">
            <v>1440.902</v>
          </cell>
          <cell r="BL62">
            <v>1473.741</v>
          </cell>
          <cell r="BM62">
            <v>1507.4280000000001</v>
          </cell>
          <cell r="BN62">
            <v>1541.9359999999999</v>
          </cell>
          <cell r="BO62">
            <v>1577.298</v>
          </cell>
          <cell r="BP62">
            <v>1613.489</v>
          </cell>
          <cell r="BQ62">
            <v>1650.3510000000001</v>
          </cell>
          <cell r="BR62">
            <v>1687.673</v>
          </cell>
          <cell r="BS62">
            <v>1725.2919999999999</v>
          </cell>
        </row>
        <row r="63">
          <cell r="E63">
            <v>678</v>
          </cell>
          <cell r="F63">
            <v>60</v>
          </cell>
          <cell r="G63">
            <v>59.203000000000003</v>
          </cell>
          <cell r="H63">
            <v>58.524999999999999</v>
          </cell>
          <cell r="I63">
            <v>58.162999999999997</v>
          </cell>
          <cell r="J63">
            <v>58.238</v>
          </cell>
          <cell r="K63">
            <v>58.781999999999996</v>
          </cell>
          <cell r="L63">
            <v>59.744</v>
          </cell>
          <cell r="M63">
            <v>60.99</v>
          </cell>
          <cell r="N63">
            <v>62.316000000000003</v>
          </cell>
          <cell r="O63">
            <v>63.475999999999999</v>
          </cell>
          <cell r="P63">
            <v>64.254999999999995</v>
          </cell>
          <cell r="Q63">
            <v>64.549000000000007</v>
          </cell>
          <cell r="R63">
            <v>64.429000000000002</v>
          </cell>
          <cell r="S63">
            <v>64.180999999999997</v>
          </cell>
          <cell r="T63">
            <v>64.209000000000003</v>
          </cell>
          <cell r="U63">
            <v>64.796999999999997</v>
          </cell>
          <cell r="V63">
            <v>66.057000000000002</v>
          </cell>
          <cell r="W63">
            <v>67.873999999999995</v>
          </cell>
          <cell r="X63">
            <v>70.040000000000006</v>
          </cell>
          <cell r="Y63">
            <v>72.239999999999995</v>
          </cell>
          <cell r="Z63">
            <v>74.251000000000005</v>
          </cell>
          <cell r="AA63">
            <v>75.989000000000004</v>
          </cell>
          <cell r="AB63">
            <v>77.536000000000001</v>
          </cell>
          <cell r="AC63">
            <v>79.025999999999996</v>
          </cell>
          <cell r="AD63">
            <v>80.67</v>
          </cell>
          <cell r="AE63">
            <v>82.606999999999999</v>
          </cell>
          <cell r="AF63">
            <v>84.888999999999996</v>
          </cell>
          <cell r="AG63">
            <v>87.436000000000007</v>
          </cell>
          <cell r="AH63">
            <v>90.094999999999999</v>
          </cell>
          <cell r="AI63">
            <v>92.652000000000001</v>
          </cell>
          <cell r="AJ63">
            <v>94.953000000000003</v>
          </cell>
          <cell r="AK63">
            <v>96.947000000000003</v>
          </cell>
          <cell r="AL63">
            <v>98.691999999999993</v>
          </cell>
          <cell r="AM63">
            <v>100.285</v>
          </cell>
          <cell r="AN63">
            <v>101.871</v>
          </cell>
          <cell r="AO63">
            <v>103.557</v>
          </cell>
          <cell r="AP63">
            <v>105.364</v>
          </cell>
          <cell r="AQ63">
            <v>107.264</v>
          </cell>
          <cell r="AR63">
            <v>109.268</v>
          </cell>
          <cell r="AS63">
            <v>111.373</v>
          </cell>
          <cell r="AT63">
            <v>113.575</v>
          </cell>
          <cell r="AU63">
            <v>115.9</v>
          </cell>
          <cell r="AV63">
            <v>118.346</v>
          </cell>
          <cell r="AW63">
            <v>120.849</v>
          </cell>
          <cell r="AX63">
            <v>123.318</v>
          </cell>
          <cell r="AY63">
            <v>125.694</v>
          </cell>
          <cell r="AZ63">
            <v>127.946</v>
          </cell>
          <cell r="BA63">
            <v>130.11000000000001</v>
          </cell>
          <cell r="BB63">
            <v>132.28399999999999</v>
          </cell>
          <cell r="BC63">
            <v>134.602</v>
          </cell>
          <cell r="BD63">
            <v>137.16399999999999</v>
          </cell>
          <cell r="BE63">
            <v>140.00299999999999</v>
          </cell>
          <cell r="BF63">
            <v>143.08500000000001</v>
          </cell>
          <cell r="BG63">
            <v>146.357</v>
          </cell>
          <cell r="BH63">
            <v>149.732</v>
          </cell>
          <cell r="BI63">
            <v>153.14599999999999</v>
          </cell>
          <cell r="BJ63">
            <v>156.584</v>
          </cell>
          <cell r="BK63">
            <v>160.06399999999999</v>
          </cell>
          <cell r="BL63">
            <v>163.595</v>
          </cell>
          <cell r="BM63">
            <v>167.196</v>
          </cell>
          <cell r="BN63">
            <v>170.88</v>
          </cell>
          <cell r="BO63">
            <v>174.64599999999999</v>
          </cell>
          <cell r="BP63">
            <v>178.48400000000001</v>
          </cell>
          <cell r="BQ63">
            <v>182.386</v>
          </cell>
          <cell r="BR63">
            <v>186.34200000000001</v>
          </cell>
          <cell r="BS63">
            <v>190.34399999999999</v>
          </cell>
        </row>
        <row r="64">
          <cell r="E64">
            <v>912</v>
          </cell>
          <cell r="F64">
            <v>49221.875999999997</v>
          </cell>
          <cell r="G64">
            <v>50394.764000000003</v>
          </cell>
          <cell r="H64">
            <v>51632.709000000003</v>
          </cell>
          <cell r="I64">
            <v>52935.203999999998</v>
          </cell>
          <cell r="J64">
            <v>54301.152000000002</v>
          </cell>
          <cell r="K64">
            <v>55728.885999999999</v>
          </cell>
          <cell r="L64">
            <v>57216.116999999998</v>
          </cell>
          <cell r="M64">
            <v>58759.978000000003</v>
          </cell>
          <cell r="N64">
            <v>60357.129000000001</v>
          </cell>
          <cell r="O64">
            <v>62003.911</v>
          </cell>
          <cell r="P64">
            <v>63696.873</v>
          </cell>
          <cell r="Q64">
            <v>65433.302000000003</v>
          </cell>
          <cell r="R64">
            <v>67211.712</v>
          </cell>
          <cell r="S64">
            <v>69032.024999999994</v>
          </cell>
          <cell r="T64">
            <v>70895.024999999994</v>
          </cell>
          <cell r="U64">
            <v>72800.627999999997</v>
          </cell>
          <cell r="V64">
            <v>74753.346999999994</v>
          </cell>
          <cell r="W64">
            <v>76751.629000000001</v>
          </cell>
          <cell r="X64">
            <v>78782.726999999999</v>
          </cell>
          <cell r="Y64">
            <v>80829.502999999997</v>
          </cell>
          <cell r="Z64">
            <v>82882.521999999997</v>
          </cell>
          <cell r="AA64">
            <v>84937.125</v>
          </cell>
          <cell r="AB64">
            <v>87005.607999999993</v>
          </cell>
          <cell r="AC64">
            <v>89116.673999999999</v>
          </cell>
          <cell r="AD64">
            <v>91309.322</v>
          </cell>
          <cell r="AE64">
            <v>93613.126999999993</v>
          </cell>
          <cell r="AF64">
            <v>96035.001999999993</v>
          </cell>
          <cell r="AG64">
            <v>98571.305999999997</v>
          </cell>
          <cell r="AH64">
            <v>101227.40399999999</v>
          </cell>
          <cell r="AI64">
            <v>104006.306</v>
          </cell>
          <cell r="AJ64">
            <v>106907.58500000001</v>
          </cell>
          <cell r="AK64">
            <v>109934.073</v>
          </cell>
          <cell r="AL64">
            <v>113079.304</v>
          </cell>
          <cell r="AM64">
            <v>116320.867</v>
          </cell>
          <cell r="AN64">
            <v>119628.62</v>
          </cell>
          <cell r="AO64">
            <v>122978.399</v>
          </cell>
          <cell r="AP64">
            <v>126352.736</v>
          </cell>
          <cell r="AQ64">
            <v>129747.54300000001</v>
          </cell>
          <cell r="AR64">
            <v>133167.29300000001</v>
          </cell>
          <cell r="AS64">
            <v>136622.875</v>
          </cell>
          <cell r="AT64">
            <v>140116.61300000001</v>
          </cell>
          <cell r="AU64">
            <v>143656.09400000001</v>
          </cell>
          <cell r="AV64">
            <v>147220.95699999999</v>
          </cell>
          <cell r="AW64">
            <v>150752.99900000001</v>
          </cell>
          <cell r="AX64">
            <v>154175.82699999999</v>
          </cell>
          <cell r="AY64">
            <v>157438.16200000001</v>
          </cell>
          <cell r="AZ64">
            <v>160517.97700000001</v>
          </cell>
          <cell r="BA64">
            <v>163440.177</v>
          </cell>
          <cell r="BB64">
            <v>166259.481</v>
          </cell>
          <cell r="BC64">
            <v>169055.86499999999</v>
          </cell>
          <cell r="BD64">
            <v>171890.851</v>
          </cell>
          <cell r="BE64">
            <v>174786.70199999999</v>
          </cell>
          <cell r="BF64">
            <v>177738.19</v>
          </cell>
          <cell r="BG64">
            <v>180747.117</v>
          </cell>
          <cell r="BH64">
            <v>183807.19399999999</v>
          </cell>
          <cell r="BI64">
            <v>186917.28599999999</v>
          </cell>
          <cell r="BJ64">
            <v>190076.359</v>
          </cell>
          <cell r="BK64">
            <v>193300.08199999999</v>
          </cell>
          <cell r="BL64">
            <v>196622.14300000001</v>
          </cell>
          <cell r="BM64">
            <v>200085.36900000001</v>
          </cell>
          <cell r="BN64">
            <v>203716.73300000001</v>
          </cell>
          <cell r="BO64">
            <v>207527.83300000001</v>
          </cell>
          <cell r="BP64">
            <v>211499.571</v>
          </cell>
          <cell r="BQ64">
            <v>215589.05600000001</v>
          </cell>
          <cell r="BR64">
            <v>219735.65299999999</v>
          </cell>
          <cell r="BS64">
            <v>223891.52799999999</v>
          </cell>
        </row>
        <row r="65">
          <cell r="E65">
            <v>12</v>
          </cell>
          <cell r="F65">
            <v>8872.2469999999994</v>
          </cell>
          <cell r="G65">
            <v>9039.9130000000005</v>
          </cell>
          <cell r="H65">
            <v>9216.3950000000004</v>
          </cell>
          <cell r="I65">
            <v>9405.4449999999997</v>
          </cell>
          <cell r="J65">
            <v>9609.5069999999996</v>
          </cell>
          <cell r="K65">
            <v>9829.7170000000006</v>
          </cell>
          <cell r="L65">
            <v>10065.829</v>
          </cell>
          <cell r="M65">
            <v>10316.288</v>
          </cell>
          <cell r="N65">
            <v>10578.453</v>
          </cell>
          <cell r="O65">
            <v>10848.971</v>
          </cell>
          <cell r="P65">
            <v>11124.892</v>
          </cell>
          <cell r="Q65">
            <v>11404.859</v>
          </cell>
          <cell r="R65">
            <v>11690.152</v>
          </cell>
          <cell r="S65">
            <v>11985.13</v>
          </cell>
          <cell r="T65">
            <v>12295.973</v>
          </cell>
          <cell r="U65">
            <v>12626.953</v>
          </cell>
          <cell r="V65">
            <v>12980.269</v>
          </cell>
          <cell r="W65">
            <v>13354.197</v>
          </cell>
          <cell r="X65">
            <v>13744.383</v>
          </cell>
          <cell r="Y65">
            <v>14144.437</v>
          </cell>
          <cell r="Z65">
            <v>14550.032999999999</v>
          </cell>
          <cell r="AA65">
            <v>14960.111000000001</v>
          </cell>
          <cell r="AB65">
            <v>15377.094999999999</v>
          </cell>
          <cell r="AC65">
            <v>15804.428</v>
          </cell>
          <cell r="AD65">
            <v>16247.112999999999</v>
          </cell>
          <cell r="AE65">
            <v>16709.098000000002</v>
          </cell>
          <cell r="AF65">
            <v>17190.236000000001</v>
          </cell>
          <cell r="AG65">
            <v>17690.184000000001</v>
          </cell>
          <cell r="AH65">
            <v>18212.330999999998</v>
          </cell>
          <cell r="AI65">
            <v>18760.760999999999</v>
          </cell>
          <cell r="AJ65">
            <v>19337.723000000002</v>
          </cell>
          <cell r="AK65">
            <v>19943.667000000001</v>
          </cell>
          <cell r="AL65">
            <v>20575.701000000001</v>
          </cell>
          <cell r="AM65">
            <v>21228.288</v>
          </cell>
          <cell r="AN65">
            <v>21893.857</v>
          </cell>
          <cell r="AO65">
            <v>22565.907999999999</v>
          </cell>
          <cell r="AP65">
            <v>23241.276000000002</v>
          </cell>
          <cell r="AQ65">
            <v>23917.888999999999</v>
          </cell>
          <cell r="AR65">
            <v>24591.492999999999</v>
          </cell>
          <cell r="AS65">
            <v>25257.670999999998</v>
          </cell>
          <cell r="AT65">
            <v>25912.364000000001</v>
          </cell>
          <cell r="AU65">
            <v>26554.276999999998</v>
          </cell>
          <cell r="AV65">
            <v>27180.920999999998</v>
          </cell>
          <cell r="AW65">
            <v>27785.976999999999</v>
          </cell>
          <cell r="AX65">
            <v>28362.014999999999</v>
          </cell>
          <cell r="AY65">
            <v>28904.3</v>
          </cell>
          <cell r="AZ65">
            <v>29411.839</v>
          </cell>
          <cell r="BA65">
            <v>29887.717000000001</v>
          </cell>
          <cell r="BB65">
            <v>30336.880000000001</v>
          </cell>
          <cell r="BC65">
            <v>30766.550999999999</v>
          </cell>
          <cell r="BD65">
            <v>31183.657999999999</v>
          </cell>
          <cell r="BE65">
            <v>31590.32</v>
          </cell>
          <cell r="BF65">
            <v>31990.386999999999</v>
          </cell>
          <cell r="BG65">
            <v>32394.885999999999</v>
          </cell>
          <cell r="BH65">
            <v>32817.224999999999</v>
          </cell>
          <cell r="BI65">
            <v>33267.887000000002</v>
          </cell>
          <cell r="BJ65">
            <v>33749.328000000001</v>
          </cell>
          <cell r="BK65">
            <v>34261.970999999998</v>
          </cell>
          <cell r="BL65">
            <v>34811.059000000001</v>
          </cell>
          <cell r="BM65">
            <v>35401.79</v>
          </cell>
          <cell r="BN65">
            <v>36036.159</v>
          </cell>
          <cell r="BO65">
            <v>36717.131999999998</v>
          </cell>
          <cell r="BP65">
            <v>37439.427000000003</v>
          </cell>
          <cell r="BQ65">
            <v>38186.135000000002</v>
          </cell>
          <cell r="BR65">
            <v>38934.334000000003</v>
          </cell>
          <cell r="BS65">
            <v>39666.519</v>
          </cell>
        </row>
        <row r="66">
          <cell r="E66">
            <v>818</v>
          </cell>
          <cell r="F66">
            <v>20897.237000000001</v>
          </cell>
          <cell r="G66">
            <v>21383.393</v>
          </cell>
          <cell r="H66">
            <v>21904.477999999999</v>
          </cell>
          <cell r="I66">
            <v>22458.401999999998</v>
          </cell>
          <cell r="J66">
            <v>23043.035</v>
          </cell>
          <cell r="K66">
            <v>23656.216</v>
          </cell>
          <cell r="L66">
            <v>24295.745999999999</v>
          </cell>
          <cell r="M66">
            <v>24959.391</v>
          </cell>
          <cell r="N66">
            <v>25644.891</v>
          </cell>
          <cell r="O66">
            <v>26349.973000000002</v>
          </cell>
          <cell r="P66">
            <v>27072.397000000001</v>
          </cell>
          <cell r="Q66">
            <v>27810.001</v>
          </cell>
          <cell r="R66">
            <v>28560.741000000002</v>
          </cell>
          <cell r="S66">
            <v>29322.708999999999</v>
          </cell>
          <cell r="T66">
            <v>30094.081999999999</v>
          </cell>
          <cell r="U66">
            <v>30872.982</v>
          </cell>
          <cell r="V66">
            <v>31660.914000000001</v>
          </cell>
          <cell r="W66">
            <v>32456.564999999999</v>
          </cell>
          <cell r="X66">
            <v>33252.275000000001</v>
          </cell>
          <cell r="Y66">
            <v>34038.146999999997</v>
          </cell>
          <cell r="Z66">
            <v>34808.599000000002</v>
          </cell>
          <cell r="AA66">
            <v>35561.087</v>
          </cell>
          <cell r="AB66">
            <v>36302.154000000002</v>
          </cell>
          <cell r="AC66">
            <v>37046.807000000001</v>
          </cell>
          <cell r="AD66">
            <v>37815.578000000001</v>
          </cell>
          <cell r="AE66">
            <v>38624.410000000003</v>
          </cell>
          <cell r="AF66">
            <v>39478.584999999999</v>
          </cell>
          <cell r="AG66">
            <v>40377.667999999998</v>
          </cell>
          <cell r="AH66">
            <v>41324.805999999997</v>
          </cell>
          <cell r="AI66">
            <v>42321.74</v>
          </cell>
          <cell r="AJ66">
            <v>43369.552000000003</v>
          </cell>
          <cell r="AK66">
            <v>44465.917999999998</v>
          </cell>
          <cell r="AL66">
            <v>45610.43</v>
          </cell>
          <cell r="AM66">
            <v>46807.220999999998</v>
          </cell>
          <cell r="AN66">
            <v>48061.546000000002</v>
          </cell>
          <cell r="AO66">
            <v>49373.805999999997</v>
          </cell>
          <cell r="AP66">
            <v>50748.186999999998</v>
          </cell>
          <cell r="AQ66">
            <v>52173.84</v>
          </cell>
          <cell r="AR66">
            <v>53617.678</v>
          </cell>
          <cell r="AS66">
            <v>55035.936999999998</v>
          </cell>
          <cell r="AT66">
            <v>56397.273000000001</v>
          </cell>
          <cell r="AU66">
            <v>57689.828000000001</v>
          </cell>
          <cell r="AV66">
            <v>58922.017999999996</v>
          </cell>
          <cell r="AW66">
            <v>60108.373</v>
          </cell>
          <cell r="AX66">
            <v>61272.847000000002</v>
          </cell>
          <cell r="AY66">
            <v>62434.527000000002</v>
          </cell>
          <cell r="AZ66">
            <v>63595.629000000001</v>
          </cell>
          <cell r="BA66">
            <v>64754.565999999999</v>
          </cell>
          <cell r="BB66">
            <v>65922.626000000004</v>
          </cell>
          <cell r="BC66">
            <v>67112.876999999993</v>
          </cell>
          <cell r="BD66">
            <v>68334.904999999999</v>
          </cell>
          <cell r="BE66">
            <v>69599.945000000007</v>
          </cell>
          <cell r="BF66">
            <v>70908.710000000006</v>
          </cell>
          <cell r="BG66">
            <v>72247.626000000004</v>
          </cell>
          <cell r="BH66">
            <v>73596.067999999999</v>
          </cell>
          <cell r="BI66">
            <v>74942.115000000005</v>
          </cell>
          <cell r="BJ66">
            <v>76274.285000000003</v>
          </cell>
          <cell r="BK66">
            <v>77605.327000000005</v>
          </cell>
          <cell r="BL66">
            <v>78976.122000000003</v>
          </cell>
          <cell r="BM66">
            <v>80442.442999999999</v>
          </cell>
          <cell r="BN66">
            <v>82040.994000000006</v>
          </cell>
          <cell r="BO66">
            <v>83787.634000000005</v>
          </cell>
          <cell r="BP66">
            <v>85660.902000000002</v>
          </cell>
          <cell r="BQ66">
            <v>87613.909</v>
          </cell>
          <cell r="BR66">
            <v>89579.67</v>
          </cell>
          <cell r="BS66">
            <v>91508.084000000003</v>
          </cell>
        </row>
        <row r="67">
          <cell r="E67">
            <v>434</v>
          </cell>
          <cell r="F67">
            <v>1113.3820000000001</v>
          </cell>
          <cell r="G67">
            <v>1131.5899999999999</v>
          </cell>
          <cell r="H67">
            <v>1152.277</v>
          </cell>
          <cell r="I67">
            <v>1175.8869999999999</v>
          </cell>
          <cell r="J67">
            <v>1202.7370000000001</v>
          </cell>
          <cell r="K67">
            <v>1233.0250000000001</v>
          </cell>
          <cell r="L67">
            <v>1266.8130000000001</v>
          </cell>
          <cell r="M67">
            <v>1304.0450000000001</v>
          </cell>
          <cell r="N67">
            <v>1344.5609999999999</v>
          </cell>
          <cell r="O67">
            <v>1388.133</v>
          </cell>
          <cell r="P67">
            <v>1434.576</v>
          </cell>
          <cell r="Q67">
            <v>1483.856</v>
          </cell>
          <cell r="R67">
            <v>1536.1959999999999</v>
          </cell>
          <cell r="S67">
            <v>1592.1110000000001</v>
          </cell>
          <cell r="T67">
            <v>1652.2940000000001</v>
          </cell>
          <cell r="U67">
            <v>1717.2550000000001</v>
          </cell>
          <cell r="V67">
            <v>1787.08</v>
          </cell>
          <cell r="W67">
            <v>1861.6610000000001</v>
          </cell>
          <cell r="X67">
            <v>1941.056</v>
          </cell>
          <cell r="Y67">
            <v>2025.2819999999999</v>
          </cell>
          <cell r="Z67">
            <v>2114.2640000000001</v>
          </cell>
          <cell r="AA67">
            <v>2208.125</v>
          </cell>
          <cell r="AB67">
            <v>2306.6680000000001</v>
          </cell>
          <cell r="AC67">
            <v>2409.1010000000001</v>
          </cell>
          <cell r="AD67">
            <v>2514.373</v>
          </cell>
          <cell r="AE67">
            <v>2621.73</v>
          </cell>
          <cell r="AF67">
            <v>2730.373</v>
          </cell>
          <cell r="AG67">
            <v>2840.3780000000002</v>
          </cell>
          <cell r="AH67">
            <v>2952.877</v>
          </cell>
          <cell r="AI67">
            <v>3069.54</v>
          </cell>
          <cell r="AJ67">
            <v>3191.3040000000001</v>
          </cell>
          <cell r="AK67">
            <v>3318.56</v>
          </cell>
          <cell r="AL67">
            <v>3450.078</v>
          </cell>
          <cell r="AM67">
            <v>3583.183</v>
          </cell>
          <cell r="AN67">
            <v>3714.2640000000001</v>
          </cell>
          <cell r="AO67">
            <v>3840.6350000000002</v>
          </cell>
          <cell r="AP67">
            <v>3961.3629999999998</v>
          </cell>
          <cell r="AQ67">
            <v>4076.8879999999999</v>
          </cell>
          <cell r="AR67">
            <v>4187.6310000000003</v>
          </cell>
          <cell r="AS67">
            <v>4294.5469999999996</v>
          </cell>
          <cell r="AT67">
            <v>4398.4189999999999</v>
          </cell>
          <cell r="AU67">
            <v>4499.21</v>
          </cell>
          <cell r="AV67">
            <v>4596.8109999999997</v>
          </cell>
          <cell r="AW67">
            <v>4691.9340000000002</v>
          </cell>
          <cell r="AX67">
            <v>4785.4880000000003</v>
          </cell>
          <cell r="AY67">
            <v>4878.2020000000002</v>
          </cell>
          <cell r="AZ67">
            <v>4970.3909999999996</v>
          </cell>
          <cell r="BA67">
            <v>5062.16</v>
          </cell>
          <cell r="BB67">
            <v>5153.7640000000001</v>
          </cell>
          <cell r="BC67">
            <v>5245.4139999999998</v>
          </cell>
          <cell r="BD67">
            <v>5337.2640000000001</v>
          </cell>
          <cell r="BE67">
            <v>5428.3029999999999</v>
          </cell>
          <cell r="BF67">
            <v>5518.3410000000003</v>
          </cell>
          <cell r="BG67">
            <v>5609.1660000000002</v>
          </cell>
          <cell r="BH67">
            <v>5703.2240000000002</v>
          </cell>
          <cell r="BI67">
            <v>5801.5429999999997</v>
          </cell>
          <cell r="BJ67">
            <v>5907.1490000000003</v>
          </cell>
          <cell r="BK67">
            <v>6017.7939999999999</v>
          </cell>
          <cell r="BL67">
            <v>6123.0219999999999</v>
          </cell>
          <cell r="BM67">
            <v>6208.68</v>
          </cell>
          <cell r="BN67">
            <v>6265.6970000000001</v>
          </cell>
          <cell r="BO67">
            <v>6288.652</v>
          </cell>
          <cell r="BP67">
            <v>6283.4030000000002</v>
          </cell>
          <cell r="BQ67">
            <v>6265.9870000000001</v>
          </cell>
          <cell r="BR67">
            <v>6258.9840000000004</v>
          </cell>
          <cell r="BS67">
            <v>6278.4380000000001</v>
          </cell>
        </row>
        <row r="68">
          <cell r="E68">
            <v>504</v>
          </cell>
          <cell r="F68">
            <v>8985.99</v>
          </cell>
          <cell r="G68">
            <v>9243.68</v>
          </cell>
          <cell r="H68">
            <v>9529.5400000000009</v>
          </cell>
          <cell r="I68">
            <v>9837.7520000000004</v>
          </cell>
          <cell r="J68">
            <v>10163.437</v>
          </cell>
          <cell r="K68">
            <v>10502.663</v>
          </cell>
          <cell r="L68">
            <v>10852.482</v>
          </cell>
          <cell r="M68">
            <v>11210.888999999999</v>
          </cell>
          <cell r="N68">
            <v>11576.713</v>
          </cell>
          <cell r="O68">
            <v>11949.418</v>
          </cell>
          <cell r="P68">
            <v>12328.534</v>
          </cell>
          <cell r="Q68">
            <v>12713.043</v>
          </cell>
          <cell r="R68">
            <v>13100.843000000001</v>
          </cell>
          <cell r="S68">
            <v>13488.517</v>
          </cell>
          <cell r="T68">
            <v>13871.987999999999</v>
          </cell>
          <cell r="U68">
            <v>14248.425999999999</v>
          </cell>
          <cell r="V68">
            <v>14617.076999999999</v>
          </cell>
          <cell r="W68">
            <v>14978.905000000001</v>
          </cell>
          <cell r="X68">
            <v>15335.173000000001</v>
          </cell>
          <cell r="Y68">
            <v>15687.995999999999</v>
          </cell>
          <cell r="Z68">
            <v>16039.6</v>
          </cell>
          <cell r="AA68">
            <v>16389.949000000001</v>
          </cell>
          <cell r="AB68">
            <v>16740.525000000001</v>
          </cell>
          <cell r="AC68">
            <v>17097.003000000001</v>
          </cell>
          <cell r="AD68">
            <v>17466.606</v>
          </cell>
          <cell r="AE68">
            <v>17854.614000000001</v>
          </cell>
          <cell r="AF68">
            <v>18262.366000000002</v>
          </cell>
          <cell r="AG68">
            <v>18688.781999999999</v>
          </cell>
          <cell r="AH68">
            <v>19133.462</v>
          </cell>
          <cell r="AI68">
            <v>19595.092000000001</v>
          </cell>
          <cell r="AJ68">
            <v>20071.901999999998</v>
          </cell>
          <cell r="AK68">
            <v>20564.359</v>
          </cell>
          <cell r="AL68">
            <v>21070.647000000001</v>
          </cell>
          <cell r="AM68">
            <v>21583.745999999999</v>
          </cell>
          <cell r="AN68">
            <v>22094.516</v>
          </cell>
          <cell r="AO68">
            <v>22596.133000000002</v>
          </cell>
          <cell r="AP68">
            <v>23084.731</v>
          </cell>
          <cell r="AQ68">
            <v>23560.825000000001</v>
          </cell>
          <cell r="AR68">
            <v>24027.33</v>
          </cell>
          <cell r="AS68">
            <v>24489.353999999999</v>
          </cell>
          <cell r="AT68">
            <v>24950.128000000001</v>
          </cell>
          <cell r="AU68">
            <v>25410.178</v>
          </cell>
          <cell r="AV68">
            <v>25866.445</v>
          </cell>
          <cell r="AW68">
            <v>26314.339</v>
          </cell>
          <cell r="AX68">
            <v>26747.66</v>
          </cell>
          <cell r="AY68">
            <v>27161.888999999999</v>
          </cell>
          <cell r="AZ68">
            <v>27556.892</v>
          </cell>
          <cell r="BA68">
            <v>27934.013999999999</v>
          </cell>
          <cell r="BB68">
            <v>28292.298999999999</v>
          </cell>
          <cell r="BC68">
            <v>28630.973000000002</v>
          </cell>
          <cell r="BD68">
            <v>28950.553</v>
          </cell>
          <cell r="BE68">
            <v>29250.983</v>
          </cell>
          <cell r="BF68">
            <v>29535.591</v>
          </cell>
          <cell r="BG68">
            <v>29812.685000000001</v>
          </cell>
          <cell r="BH68">
            <v>30093.109</v>
          </cell>
          <cell r="BI68">
            <v>30385.478999999999</v>
          </cell>
          <cell r="BJ68">
            <v>30691.434000000001</v>
          </cell>
          <cell r="BK68">
            <v>31011.322</v>
          </cell>
          <cell r="BL68">
            <v>31350.544000000002</v>
          </cell>
          <cell r="BM68">
            <v>31714.957999999999</v>
          </cell>
          <cell r="BN68">
            <v>32107.739000000001</v>
          </cell>
          <cell r="BO68">
            <v>32531.964</v>
          </cell>
          <cell r="BP68">
            <v>32984.19</v>
          </cell>
          <cell r="BQ68">
            <v>33452.686000000002</v>
          </cell>
          <cell r="BR68">
            <v>33921.203000000001</v>
          </cell>
          <cell r="BS68">
            <v>34377.510999999999</v>
          </cell>
        </row>
        <row r="69">
          <cell r="E69">
            <v>729</v>
          </cell>
          <cell r="F69">
            <v>5733.9440000000004</v>
          </cell>
          <cell r="G69">
            <v>5883.67</v>
          </cell>
          <cell r="H69">
            <v>6039.0860000000002</v>
          </cell>
          <cell r="I69">
            <v>6200.4920000000002</v>
          </cell>
          <cell r="J69">
            <v>6368.2110000000002</v>
          </cell>
          <cell r="K69">
            <v>6542.5829999999996</v>
          </cell>
          <cell r="L69">
            <v>6723.9679999999998</v>
          </cell>
          <cell r="M69">
            <v>6912.7420000000002</v>
          </cell>
          <cell r="N69">
            <v>7109.3050000000003</v>
          </cell>
          <cell r="O69">
            <v>7314.0659999999998</v>
          </cell>
          <cell r="P69">
            <v>7527.45</v>
          </cell>
          <cell r="Q69">
            <v>7749.884</v>
          </cell>
          <cell r="R69">
            <v>7981.7969999999996</v>
          </cell>
          <cell r="S69">
            <v>8223.6129999999994</v>
          </cell>
          <cell r="T69">
            <v>8475.7649999999994</v>
          </cell>
          <cell r="U69">
            <v>8738.7029999999995</v>
          </cell>
          <cell r="V69">
            <v>9013.1119999999992</v>
          </cell>
          <cell r="W69">
            <v>9299.5450000000001</v>
          </cell>
          <cell r="X69">
            <v>9598.1959999999999</v>
          </cell>
          <cell r="Y69">
            <v>9909.152</v>
          </cell>
          <cell r="Z69">
            <v>10232.758</v>
          </cell>
          <cell r="AA69">
            <v>10568.788</v>
          </cell>
          <cell r="AB69">
            <v>10918.137000000001</v>
          </cell>
          <cell r="AC69">
            <v>11283.574000000001</v>
          </cell>
          <cell r="AD69">
            <v>11668.674000000001</v>
          </cell>
          <cell r="AE69">
            <v>12075.841</v>
          </cell>
          <cell r="AF69">
            <v>12506.035</v>
          </cell>
          <cell r="AG69">
            <v>12958.11</v>
          </cell>
          <cell r="AH69">
            <v>13429.688</v>
          </cell>
          <cell r="AI69">
            <v>13917.268</v>
          </cell>
          <cell r="AJ69">
            <v>14418.063</v>
          </cell>
          <cell r="AK69">
            <v>14935.471</v>
          </cell>
          <cell r="AL69">
            <v>15470.415000000001</v>
          </cell>
          <cell r="AM69">
            <v>16015.12</v>
          </cell>
          <cell r="AN69">
            <v>16559.205000000002</v>
          </cell>
          <cell r="AO69">
            <v>17097.618999999999</v>
          </cell>
          <cell r="AP69">
            <v>17618.851999999999</v>
          </cell>
          <cell r="AQ69">
            <v>18130.501</v>
          </cell>
          <cell r="AR69">
            <v>18669.146000000001</v>
          </cell>
          <cell r="AS69">
            <v>19284.633000000002</v>
          </cell>
          <cell r="AT69">
            <v>20008.804</v>
          </cell>
          <cell r="AU69">
            <v>20861.116999999998</v>
          </cell>
          <cell r="AV69">
            <v>21820.588</v>
          </cell>
          <cell r="AW69">
            <v>22829.226999999999</v>
          </cell>
          <cell r="AX69">
            <v>23805.536</v>
          </cell>
          <cell r="AY69">
            <v>24691.97</v>
          </cell>
          <cell r="AZ69">
            <v>25466.386999999999</v>
          </cell>
          <cell r="BA69">
            <v>26149.124</v>
          </cell>
          <cell r="BB69">
            <v>26777.059000000001</v>
          </cell>
          <cell r="BC69">
            <v>27406.808000000001</v>
          </cell>
          <cell r="BD69">
            <v>28079.664000000001</v>
          </cell>
          <cell r="BE69">
            <v>28805.142</v>
          </cell>
          <cell r="BF69">
            <v>29569.977999999999</v>
          </cell>
          <cell r="BG69">
            <v>30365.585999999999</v>
          </cell>
          <cell r="BH69">
            <v>31176.208999999999</v>
          </cell>
          <cell r="BI69">
            <v>31990.003000000001</v>
          </cell>
          <cell r="BJ69">
            <v>32809.055999999997</v>
          </cell>
          <cell r="BK69">
            <v>33637.96</v>
          </cell>
          <cell r="BL69">
            <v>34470.137999999999</v>
          </cell>
          <cell r="BM69">
            <v>35297.298000000003</v>
          </cell>
          <cell r="BN69">
            <v>36114.885000000002</v>
          </cell>
          <cell r="BO69">
            <v>36918.192999999999</v>
          </cell>
          <cell r="BP69">
            <v>37712.42</v>
          </cell>
          <cell r="BQ69">
            <v>38515.095000000001</v>
          </cell>
          <cell r="BR69">
            <v>39350.273999999998</v>
          </cell>
          <cell r="BS69">
            <v>40234.881999999998</v>
          </cell>
        </row>
        <row r="70">
          <cell r="E70">
            <v>788</v>
          </cell>
          <cell r="F70">
            <v>3605.31</v>
          </cell>
          <cell r="G70">
            <v>3696.4569999999999</v>
          </cell>
          <cell r="H70">
            <v>3773.357</v>
          </cell>
          <cell r="I70">
            <v>3838.4989999999998</v>
          </cell>
          <cell r="J70">
            <v>3894.386</v>
          </cell>
          <cell r="K70">
            <v>3943.5329999999999</v>
          </cell>
          <cell r="L70">
            <v>3988.4810000000002</v>
          </cell>
          <cell r="M70">
            <v>4031.7860000000001</v>
          </cell>
          <cell r="N70">
            <v>4075.9670000000001</v>
          </cell>
          <cell r="O70">
            <v>4123.4369999999999</v>
          </cell>
          <cell r="P70">
            <v>4176.2659999999996</v>
          </cell>
          <cell r="Q70">
            <v>4235.9359999999997</v>
          </cell>
          <cell r="R70">
            <v>4303.13</v>
          </cell>
          <cell r="S70">
            <v>4377.6360000000004</v>
          </cell>
          <cell r="T70">
            <v>4458.6090000000004</v>
          </cell>
          <cell r="U70">
            <v>4545.34</v>
          </cell>
          <cell r="V70">
            <v>4638.2709999999997</v>
          </cell>
          <cell r="W70">
            <v>4737.6329999999998</v>
          </cell>
          <cell r="X70">
            <v>4842.1660000000002</v>
          </cell>
          <cell r="Y70">
            <v>4950.1530000000002</v>
          </cell>
          <cell r="Z70">
            <v>5060.393</v>
          </cell>
          <cell r="AA70">
            <v>5172.692</v>
          </cell>
          <cell r="AB70">
            <v>5287.5479999999998</v>
          </cell>
          <cell r="AC70">
            <v>5405.3540000000003</v>
          </cell>
          <cell r="AD70">
            <v>5526.768</v>
          </cell>
          <cell r="AE70">
            <v>5652.4780000000001</v>
          </cell>
          <cell r="AF70">
            <v>5781.7929999999997</v>
          </cell>
          <cell r="AG70">
            <v>5915.0060000000003</v>
          </cell>
          <cell r="AH70">
            <v>6054.9139999999998</v>
          </cell>
          <cell r="AI70">
            <v>6205.21</v>
          </cell>
          <cell r="AJ70">
            <v>6368.1689999999999</v>
          </cell>
          <cell r="AK70">
            <v>6545.0249999999996</v>
          </cell>
          <cell r="AL70">
            <v>6733.9579999999996</v>
          </cell>
          <cell r="AM70">
            <v>6930.39</v>
          </cell>
          <cell r="AN70">
            <v>7127.9430000000002</v>
          </cell>
          <cell r="AO70">
            <v>7321.8770000000004</v>
          </cell>
          <cell r="AP70">
            <v>7509.75</v>
          </cell>
          <cell r="AQ70">
            <v>7692.2460000000001</v>
          </cell>
          <cell r="AR70">
            <v>7871.46</v>
          </cell>
          <cell r="AS70">
            <v>8050.9359999999997</v>
          </cell>
          <cell r="AT70">
            <v>8232.7970000000005</v>
          </cell>
          <cell r="AU70">
            <v>8417.6890000000003</v>
          </cell>
          <cell r="AV70">
            <v>8603.2260000000006</v>
          </cell>
          <cell r="AW70">
            <v>8784.8880000000008</v>
          </cell>
          <cell r="AX70">
            <v>8956.59</v>
          </cell>
          <cell r="AY70">
            <v>9113.9719999999998</v>
          </cell>
          <cell r="AZ70">
            <v>9256.0360000000001</v>
          </cell>
          <cell r="BA70">
            <v>9384.1509999999998</v>
          </cell>
          <cell r="BB70">
            <v>9499.3870000000006</v>
          </cell>
          <cell r="BC70">
            <v>9603.7330000000002</v>
          </cell>
          <cell r="BD70">
            <v>9699.1919999999991</v>
          </cell>
          <cell r="BE70">
            <v>9785.6650000000009</v>
          </cell>
          <cell r="BF70">
            <v>9864.2070000000003</v>
          </cell>
          <cell r="BG70">
            <v>9939.4779999999992</v>
          </cell>
          <cell r="BH70">
            <v>10017.439</v>
          </cell>
          <cell r="BI70">
            <v>10102.477000000001</v>
          </cell>
          <cell r="BJ70">
            <v>10196.441000000001</v>
          </cell>
          <cell r="BK70">
            <v>10298.717000000001</v>
          </cell>
          <cell r="BL70">
            <v>10408.091</v>
          </cell>
          <cell r="BM70">
            <v>10522.214</v>
          </cell>
          <cell r="BN70">
            <v>10639.194</v>
          </cell>
          <cell r="BO70">
            <v>10758.87</v>
          </cell>
          <cell r="BP70">
            <v>10881.45</v>
          </cell>
          <cell r="BQ70">
            <v>11005.706</v>
          </cell>
          <cell r="BR70">
            <v>11130.154</v>
          </cell>
          <cell r="BS70">
            <v>11253.554</v>
          </cell>
        </row>
        <row r="71">
          <cell r="E71">
            <v>732</v>
          </cell>
          <cell r="F71">
            <v>13.766</v>
          </cell>
          <cell r="G71">
            <v>16.061</v>
          </cell>
          <cell r="H71">
            <v>17.576000000000001</v>
          </cell>
          <cell r="I71">
            <v>18.727</v>
          </cell>
          <cell r="J71">
            <v>19.838999999999999</v>
          </cell>
          <cell r="K71">
            <v>21.149000000000001</v>
          </cell>
          <cell r="L71">
            <v>22.797999999999998</v>
          </cell>
          <cell r="M71">
            <v>24.837</v>
          </cell>
          <cell r="N71">
            <v>27.239000000000001</v>
          </cell>
          <cell r="O71">
            <v>29.913</v>
          </cell>
          <cell r="P71">
            <v>32.758000000000003</v>
          </cell>
          <cell r="Q71">
            <v>35.722999999999999</v>
          </cell>
          <cell r="R71">
            <v>38.853000000000002</v>
          </cell>
          <cell r="S71">
            <v>42.308999999999997</v>
          </cell>
          <cell r="T71">
            <v>46.314</v>
          </cell>
          <cell r="U71">
            <v>50.969000000000001</v>
          </cell>
          <cell r="V71">
            <v>56.624000000000002</v>
          </cell>
          <cell r="W71">
            <v>63.122999999999998</v>
          </cell>
          <cell r="X71">
            <v>69.477999999999994</v>
          </cell>
          <cell r="Y71">
            <v>74.335999999999999</v>
          </cell>
          <cell r="Z71">
            <v>76.875</v>
          </cell>
          <cell r="AA71">
            <v>76.373000000000005</v>
          </cell>
          <cell r="AB71">
            <v>73.480999999999995</v>
          </cell>
          <cell r="AC71">
            <v>70.406999999999996</v>
          </cell>
          <cell r="AD71">
            <v>70.209999999999994</v>
          </cell>
          <cell r="AE71">
            <v>74.956000000000003</v>
          </cell>
          <cell r="AF71">
            <v>85.614000000000004</v>
          </cell>
          <cell r="AG71">
            <v>101.178</v>
          </cell>
          <cell r="AH71">
            <v>119.32599999999999</v>
          </cell>
          <cell r="AI71">
            <v>136.69499999999999</v>
          </cell>
          <cell r="AJ71">
            <v>150.87200000000001</v>
          </cell>
          <cell r="AK71">
            <v>161.07300000000001</v>
          </cell>
          <cell r="AL71">
            <v>168.07499999999999</v>
          </cell>
          <cell r="AM71">
            <v>172.91900000000001</v>
          </cell>
          <cell r="AN71">
            <v>177.28899999999999</v>
          </cell>
          <cell r="AO71">
            <v>182.42099999999999</v>
          </cell>
          <cell r="AP71">
            <v>188.577</v>
          </cell>
          <cell r="AQ71">
            <v>195.35400000000001</v>
          </cell>
          <cell r="AR71">
            <v>202.55500000000001</v>
          </cell>
          <cell r="AS71">
            <v>209.797</v>
          </cell>
          <cell r="AT71">
            <v>216.828</v>
          </cell>
          <cell r="AU71">
            <v>223.79499999999999</v>
          </cell>
          <cell r="AV71">
            <v>230.94800000000001</v>
          </cell>
          <cell r="AW71">
            <v>238.261</v>
          </cell>
          <cell r="AX71">
            <v>245.691</v>
          </cell>
          <cell r="AY71">
            <v>253.30199999999999</v>
          </cell>
          <cell r="AZ71">
            <v>260.803</v>
          </cell>
          <cell r="BA71">
            <v>268.44499999999999</v>
          </cell>
          <cell r="BB71">
            <v>277.46600000000001</v>
          </cell>
          <cell r="BC71">
            <v>289.50900000000001</v>
          </cell>
          <cell r="BD71">
            <v>305.61500000000001</v>
          </cell>
          <cell r="BE71">
            <v>326.34399999999999</v>
          </cell>
          <cell r="BF71">
            <v>350.976</v>
          </cell>
          <cell r="BG71">
            <v>377.69</v>
          </cell>
          <cell r="BH71">
            <v>403.92</v>
          </cell>
          <cell r="BI71">
            <v>427.78199999999998</v>
          </cell>
          <cell r="BJ71">
            <v>448.666</v>
          </cell>
          <cell r="BK71">
            <v>466.99099999999999</v>
          </cell>
          <cell r="BL71">
            <v>483.16699999999997</v>
          </cell>
          <cell r="BM71">
            <v>497.98599999999999</v>
          </cell>
          <cell r="BN71">
            <v>512.06500000000005</v>
          </cell>
          <cell r="BO71">
            <v>525.38800000000003</v>
          </cell>
          <cell r="BP71">
            <v>537.779</v>
          </cell>
          <cell r="BQ71">
            <v>549.53800000000001</v>
          </cell>
          <cell r="BR71">
            <v>561.03399999999999</v>
          </cell>
          <cell r="BS71">
            <v>572.54</v>
          </cell>
        </row>
        <row r="72">
          <cell r="E72">
            <v>913</v>
          </cell>
          <cell r="F72">
            <v>15587.911</v>
          </cell>
          <cell r="G72">
            <v>15937.040999999999</v>
          </cell>
          <cell r="H72">
            <v>16304.33</v>
          </cell>
          <cell r="I72">
            <v>16686.368999999999</v>
          </cell>
          <cell r="J72">
            <v>17080.883999999998</v>
          </cell>
          <cell r="K72">
            <v>17486.756000000001</v>
          </cell>
          <cell r="L72">
            <v>17904.047999999999</v>
          </cell>
          <cell r="M72">
            <v>18333.972000000002</v>
          </cell>
          <cell r="N72">
            <v>18778.698</v>
          </cell>
          <cell r="O72">
            <v>19241.043000000001</v>
          </cell>
          <cell r="P72">
            <v>19723.585999999999</v>
          </cell>
          <cell r="Q72">
            <v>20227.678</v>
          </cell>
          <cell r="R72">
            <v>20752.612000000001</v>
          </cell>
          <cell r="S72">
            <v>21295.256000000001</v>
          </cell>
          <cell r="T72">
            <v>21851.071</v>
          </cell>
          <cell r="U72">
            <v>22417.151000000002</v>
          </cell>
          <cell r="V72">
            <v>22991.526999999998</v>
          </cell>
          <cell r="W72">
            <v>23576.133000000002</v>
          </cell>
          <cell r="X72">
            <v>24176.598000000002</v>
          </cell>
          <cell r="Y72">
            <v>24800.792000000001</v>
          </cell>
          <cell r="Z72">
            <v>25453.992999999999</v>
          </cell>
          <cell r="AA72">
            <v>26139.167000000001</v>
          </cell>
          <cell r="AB72">
            <v>26853.667000000001</v>
          </cell>
          <cell r="AC72">
            <v>27590.368999999999</v>
          </cell>
          <cell r="AD72">
            <v>28339.062999999998</v>
          </cell>
          <cell r="AE72">
            <v>29092.722000000002</v>
          </cell>
          <cell r="AF72">
            <v>29847.467000000001</v>
          </cell>
          <cell r="AG72">
            <v>30606.253000000001</v>
          </cell>
          <cell r="AH72">
            <v>31377.039000000001</v>
          </cell>
          <cell r="AI72">
            <v>32171.401999999998</v>
          </cell>
          <cell r="AJ72">
            <v>32997.010999999999</v>
          </cell>
          <cell r="AK72">
            <v>33858.400999999998</v>
          </cell>
          <cell r="AL72">
            <v>34751.303</v>
          </cell>
          <cell r="AM72">
            <v>35664.07</v>
          </cell>
          <cell r="AN72">
            <v>36580.213000000003</v>
          </cell>
          <cell r="AO72">
            <v>37488.692000000003</v>
          </cell>
          <cell r="AP72">
            <v>38379.875</v>
          </cell>
          <cell r="AQ72">
            <v>39258.644</v>
          </cell>
          <cell r="AR72">
            <v>40145.504000000001</v>
          </cell>
          <cell r="AS72">
            <v>41069.588000000003</v>
          </cell>
          <cell r="AT72">
            <v>42049.012999999999</v>
          </cell>
          <cell r="AU72">
            <v>43093.764999999999</v>
          </cell>
          <cell r="AV72">
            <v>44189.237000000001</v>
          </cell>
          <cell r="AW72">
            <v>45299.057999999997</v>
          </cell>
          <cell r="AX72">
            <v>46372.798999999999</v>
          </cell>
          <cell r="AY72">
            <v>47374.567000000003</v>
          </cell>
          <cell r="AZ72">
            <v>48291.099000000002</v>
          </cell>
          <cell r="BA72">
            <v>49133.904000000002</v>
          </cell>
          <cell r="BB72">
            <v>49922.387000000002</v>
          </cell>
          <cell r="BC72">
            <v>50687.199999999997</v>
          </cell>
          <cell r="BD72">
            <v>51451.328000000001</v>
          </cell>
          <cell r="BE72">
            <v>52218.951000000001</v>
          </cell>
          <cell r="BF72">
            <v>52984.326999999997</v>
          </cell>
          <cell r="BG72">
            <v>53748.946000000004</v>
          </cell>
          <cell r="BH72">
            <v>54512.462</v>
          </cell>
          <cell r="BI72">
            <v>55274.466</v>
          </cell>
          <cell r="BJ72">
            <v>56035.94</v>
          </cell>
          <cell r="BK72">
            <v>56797.694000000003</v>
          </cell>
          <cell r="BL72">
            <v>57558.324000000001</v>
          </cell>
          <cell r="BM72">
            <v>58315.544999999998</v>
          </cell>
          <cell r="BN72">
            <v>59066.802000000003</v>
          </cell>
          <cell r="BO72">
            <v>59812.546999999999</v>
          </cell>
          <cell r="BP72">
            <v>60550.766000000003</v>
          </cell>
          <cell r="BQ72">
            <v>61273.413</v>
          </cell>
          <cell r="BR72">
            <v>61970.158000000003</v>
          </cell>
          <cell r="BS72">
            <v>62633.713000000003</v>
          </cell>
        </row>
        <row r="73">
          <cell r="E73">
            <v>72</v>
          </cell>
          <cell r="F73">
            <v>412.53300000000002</v>
          </cell>
          <cell r="G73">
            <v>425.27</v>
          </cell>
          <cell r="H73">
            <v>437.18200000000002</v>
          </cell>
          <cell r="I73">
            <v>448.43700000000001</v>
          </cell>
          <cell r="J73">
            <v>459.20600000000002</v>
          </cell>
          <cell r="K73">
            <v>469.67099999999999</v>
          </cell>
          <cell r="L73">
            <v>480.01600000000002</v>
          </cell>
          <cell r="M73">
            <v>490.43299999999999</v>
          </cell>
          <cell r="N73">
            <v>501.11700000000002</v>
          </cell>
          <cell r="O73">
            <v>512.25599999999997</v>
          </cell>
          <cell r="P73">
            <v>524.029</v>
          </cell>
          <cell r="Q73">
            <v>536.57600000000002</v>
          </cell>
          <cell r="R73">
            <v>549.99</v>
          </cell>
          <cell r="S73">
            <v>564.31600000000003</v>
          </cell>
          <cell r="T73">
            <v>579.55999999999995</v>
          </cell>
          <cell r="U73">
            <v>595.74099999999999</v>
          </cell>
          <cell r="V73">
            <v>612.95000000000005</v>
          </cell>
          <cell r="W73">
            <v>631.27599999999995</v>
          </cell>
          <cell r="X73">
            <v>650.73</v>
          </cell>
          <cell r="Y73">
            <v>671.30499999999995</v>
          </cell>
          <cell r="Z73">
            <v>693.02099999999996</v>
          </cell>
          <cell r="AA73">
            <v>715.81100000000004</v>
          </cell>
          <cell r="AB73">
            <v>739.75400000000002</v>
          </cell>
          <cell r="AC73">
            <v>765.17700000000002</v>
          </cell>
          <cell r="AD73">
            <v>792.51300000000003</v>
          </cell>
          <cell r="AE73">
            <v>822.029</v>
          </cell>
          <cell r="AF73">
            <v>853.86</v>
          </cell>
          <cell r="AG73">
            <v>887.79300000000001</v>
          </cell>
          <cell r="AH73">
            <v>923.30499999999995</v>
          </cell>
          <cell r="AI73">
            <v>959.66600000000005</v>
          </cell>
          <cell r="AJ73">
            <v>996.33100000000002</v>
          </cell>
          <cell r="AK73">
            <v>1033.0730000000001</v>
          </cell>
          <cell r="AL73">
            <v>1069.962</v>
          </cell>
          <cell r="AM73">
            <v>1107.1030000000001</v>
          </cell>
          <cell r="AN73">
            <v>1144.7159999999999</v>
          </cell>
          <cell r="AO73">
            <v>1182.942</v>
          </cell>
          <cell r="AP73">
            <v>1221.6679999999999</v>
          </cell>
          <cell r="AQ73">
            <v>1260.72</v>
          </cell>
          <cell r="AR73">
            <v>1300.097</v>
          </cell>
          <cell r="AS73">
            <v>1339.8130000000001</v>
          </cell>
          <cell r="AT73">
            <v>1379.8140000000001</v>
          </cell>
          <cell r="AU73">
            <v>1420.098</v>
          </cell>
          <cell r="AV73">
            <v>1460.453</v>
          </cell>
          <cell r="AW73">
            <v>1500.356</v>
          </cell>
          <cell r="AX73">
            <v>1539.135</v>
          </cell>
          <cell r="AY73">
            <v>1576.2909999999999</v>
          </cell>
          <cell r="AZ73">
            <v>1611.827</v>
          </cell>
          <cell r="BA73">
            <v>1645.846</v>
          </cell>
          <cell r="BB73">
            <v>1678.1110000000001</v>
          </cell>
          <cell r="BC73">
            <v>1708.3679999999999</v>
          </cell>
          <cell r="BD73">
            <v>1736.579</v>
          </cell>
          <cell r="BE73">
            <v>1762.5309999999999</v>
          </cell>
          <cell r="BF73">
            <v>1786.672</v>
          </cell>
          <cell r="BG73">
            <v>1810.4380000000001</v>
          </cell>
          <cell r="BH73">
            <v>1835.75</v>
          </cell>
          <cell r="BI73">
            <v>1864.0029999999999</v>
          </cell>
          <cell r="BJ73">
            <v>1895.671</v>
          </cell>
          <cell r="BK73">
            <v>1930.431</v>
          </cell>
          <cell r="BL73">
            <v>1967.866</v>
          </cell>
          <cell r="BM73">
            <v>2007.212</v>
          </cell>
          <cell r="BN73">
            <v>2047.8309999999999</v>
          </cell>
          <cell r="BO73">
            <v>2089.7060000000001</v>
          </cell>
          <cell r="BP73">
            <v>2132.8220000000001</v>
          </cell>
          <cell r="BQ73">
            <v>2176.5100000000002</v>
          </cell>
          <cell r="BR73">
            <v>2219.9369999999999</v>
          </cell>
          <cell r="BS73">
            <v>2262.4850000000001</v>
          </cell>
        </row>
        <row r="74">
          <cell r="E74">
            <v>426</v>
          </cell>
          <cell r="F74">
            <v>733.94200000000001</v>
          </cell>
          <cell r="G74">
            <v>744.32</v>
          </cell>
          <cell r="H74">
            <v>754.84900000000005</v>
          </cell>
          <cell r="I74">
            <v>765.56399999999996</v>
          </cell>
          <cell r="J74">
            <v>776.51400000000001</v>
          </cell>
          <cell r="K74">
            <v>787.76</v>
          </cell>
          <cell r="L74">
            <v>799.37699999999995</v>
          </cell>
          <cell r="M74">
            <v>811.45299999999997</v>
          </cell>
          <cell r="N74">
            <v>824.08600000000001</v>
          </cell>
          <cell r="O74">
            <v>837.375</v>
          </cell>
          <cell r="P74">
            <v>851.41200000000003</v>
          </cell>
          <cell r="Q74">
            <v>866.25300000000004</v>
          </cell>
          <cell r="R74">
            <v>881.91</v>
          </cell>
          <cell r="S74">
            <v>898.34199999999998</v>
          </cell>
          <cell r="T74">
            <v>915.47299999999996</v>
          </cell>
          <cell r="U74">
            <v>933.25099999999998</v>
          </cell>
          <cell r="V74">
            <v>951.73599999999999</v>
          </cell>
          <cell r="W74">
            <v>970.97199999999998</v>
          </cell>
          <cell r="X74">
            <v>990.86900000000003</v>
          </cell>
          <cell r="Y74">
            <v>1011.308</v>
          </cell>
          <cell r="Z74">
            <v>1032.24</v>
          </cell>
          <cell r="AA74">
            <v>1053.5239999999999</v>
          </cell>
          <cell r="AB74">
            <v>1075.2809999999999</v>
          </cell>
          <cell r="AC74">
            <v>1098.0329999999999</v>
          </cell>
          <cell r="AD74">
            <v>1122.4839999999999</v>
          </cell>
          <cell r="AE74">
            <v>1149.0899999999999</v>
          </cell>
          <cell r="AF74">
            <v>1177.9749999999999</v>
          </cell>
          <cell r="AG74">
            <v>1208.836</v>
          </cell>
          <cell r="AH74">
            <v>1241.1590000000001</v>
          </cell>
          <cell r="AI74">
            <v>1274.2159999999999</v>
          </cell>
          <cell r="AJ74">
            <v>1307.403</v>
          </cell>
          <cell r="AK74">
            <v>1340.694</v>
          </cell>
          <cell r="AL74">
            <v>1374.0440000000001</v>
          </cell>
          <cell r="AM74">
            <v>1406.818</v>
          </cell>
          <cell r="AN74">
            <v>1438.248</v>
          </cell>
          <cell r="AO74">
            <v>1467.856</v>
          </cell>
          <cell r="AP74">
            <v>1495.1010000000001</v>
          </cell>
          <cell r="AQ74">
            <v>1520.2439999999999</v>
          </cell>
          <cell r="AR74">
            <v>1544.58</v>
          </cell>
          <cell r="AS74">
            <v>1569.9359999999999</v>
          </cell>
          <cell r="AT74">
            <v>1597.5340000000001</v>
          </cell>
          <cell r="AU74">
            <v>1627.9</v>
          </cell>
          <cell r="AV74">
            <v>1660.36</v>
          </cell>
          <cell r="AW74">
            <v>1693.4590000000001</v>
          </cell>
          <cell r="AX74">
            <v>1725.1179999999999</v>
          </cell>
          <cell r="AY74">
            <v>1753.8240000000001</v>
          </cell>
          <cell r="AZ74">
            <v>1779.201</v>
          </cell>
          <cell r="BA74">
            <v>1801.6949999999999</v>
          </cell>
          <cell r="BB74">
            <v>1821.6320000000001</v>
          </cell>
          <cell r="BC74">
            <v>1839.6310000000001</v>
          </cell>
          <cell r="BD74">
            <v>1856.2249999999999</v>
          </cell>
          <cell r="BE74">
            <v>1871.489</v>
          </cell>
          <cell r="BF74">
            <v>1885.4880000000001</v>
          </cell>
          <cell r="BG74">
            <v>1898.778</v>
          </cell>
          <cell r="BH74">
            <v>1912.0419999999999</v>
          </cell>
          <cell r="BI74">
            <v>1925.8440000000001</v>
          </cell>
          <cell r="BJ74">
            <v>1940.345</v>
          </cell>
          <cell r="BK74">
            <v>1955.6559999999999</v>
          </cell>
          <cell r="BL74">
            <v>1972.194</v>
          </cell>
          <cell r="BM74">
            <v>1990.413</v>
          </cell>
          <cell r="BN74">
            <v>2010.586</v>
          </cell>
          <cell r="BO74">
            <v>2032.95</v>
          </cell>
          <cell r="BP74">
            <v>2057.3310000000001</v>
          </cell>
          <cell r="BQ74">
            <v>2083.0610000000001</v>
          </cell>
          <cell r="BR74">
            <v>2109.1970000000001</v>
          </cell>
          <cell r="BS74">
            <v>2135.0219999999999</v>
          </cell>
        </row>
        <row r="75">
          <cell r="E75">
            <v>516</v>
          </cell>
          <cell r="F75">
            <v>485.274</v>
          </cell>
          <cell r="G75">
            <v>494.61099999999999</v>
          </cell>
          <cell r="H75">
            <v>504.55200000000002</v>
          </cell>
          <cell r="I75">
            <v>515.04</v>
          </cell>
          <cell r="J75">
            <v>526.03599999999994</v>
          </cell>
          <cell r="K75">
            <v>537.51900000000001</v>
          </cell>
          <cell r="L75">
            <v>549.48199999999997</v>
          </cell>
          <cell r="M75">
            <v>561.93600000000004</v>
          </cell>
          <cell r="N75">
            <v>574.90700000000004</v>
          </cell>
          <cell r="O75">
            <v>588.42999999999995</v>
          </cell>
          <cell r="P75">
            <v>602.54499999999996</v>
          </cell>
          <cell r="Q75">
            <v>617.28200000000004</v>
          </cell>
          <cell r="R75">
            <v>632.65800000000002</v>
          </cell>
          <cell r="S75">
            <v>648.66800000000001</v>
          </cell>
          <cell r="T75">
            <v>665.29700000000003</v>
          </cell>
          <cell r="U75">
            <v>682.553</v>
          </cell>
          <cell r="V75">
            <v>700.31600000000003</v>
          </cell>
          <cell r="W75">
            <v>718.62199999999996</v>
          </cell>
          <cell r="X75">
            <v>737.80200000000002</v>
          </cell>
          <cell r="Y75">
            <v>758.30499999999995</v>
          </cell>
          <cell r="Z75">
            <v>780.38599999999997</v>
          </cell>
          <cell r="AA75">
            <v>804.30899999999997</v>
          </cell>
          <cell r="AB75">
            <v>829.80600000000004</v>
          </cell>
          <cell r="AC75">
            <v>855.96500000000003</v>
          </cell>
          <cell r="AD75">
            <v>881.53</v>
          </cell>
          <cell r="AE75">
            <v>905.64700000000005</v>
          </cell>
          <cell r="AF75">
            <v>928.22799999999995</v>
          </cell>
          <cell r="AG75">
            <v>949.73400000000004</v>
          </cell>
          <cell r="AH75">
            <v>970.56899999999996</v>
          </cell>
          <cell r="AI75">
            <v>991.36500000000001</v>
          </cell>
          <cell r="AJ75">
            <v>1012.761</v>
          </cell>
          <cell r="AK75">
            <v>1034.4459999999999</v>
          </cell>
          <cell r="AL75">
            <v>1056.758</v>
          </cell>
          <cell r="AM75">
            <v>1081.74</v>
          </cell>
          <cell r="AN75">
            <v>1112.0440000000001</v>
          </cell>
          <cell r="AO75">
            <v>1149.3889999999999</v>
          </cell>
          <cell r="AP75">
            <v>1194.769</v>
          </cell>
          <cell r="AQ75">
            <v>1247.1859999999999</v>
          </cell>
          <cell r="AR75">
            <v>1303.8789999999999</v>
          </cell>
          <cell r="AS75">
            <v>1360.921</v>
          </cell>
          <cell r="AT75">
            <v>1415.4469999999999</v>
          </cell>
          <cell r="AU75">
            <v>1466.152</v>
          </cell>
          <cell r="AV75">
            <v>1513.6890000000001</v>
          </cell>
          <cell r="AW75">
            <v>1559.48</v>
          </cell>
          <cell r="AX75">
            <v>1605.828</v>
          </cell>
          <cell r="AY75">
            <v>1654.2139999999999</v>
          </cell>
          <cell r="AZ75">
            <v>1705.3489999999999</v>
          </cell>
          <cell r="BA75">
            <v>1758.097</v>
          </cell>
          <cell r="BB75">
            <v>1809.92</v>
          </cell>
          <cell r="BC75">
            <v>1857.32</v>
          </cell>
          <cell r="BD75">
            <v>1897.953</v>
          </cell>
          <cell r="BE75">
            <v>1931.0050000000001</v>
          </cell>
          <cell r="BF75">
            <v>1957.749</v>
          </cell>
          <cell r="BG75">
            <v>1980.5309999999999</v>
          </cell>
          <cell r="BH75">
            <v>2002.7449999999999</v>
          </cell>
          <cell r="BI75">
            <v>2027.0260000000001</v>
          </cell>
          <cell r="BJ75">
            <v>2053.915</v>
          </cell>
          <cell r="BK75">
            <v>2083.174</v>
          </cell>
          <cell r="BL75">
            <v>2115.703</v>
          </cell>
          <cell r="BM75">
            <v>2152.357</v>
          </cell>
          <cell r="BN75">
            <v>2193.643</v>
          </cell>
          <cell r="BO75">
            <v>2240.1610000000001</v>
          </cell>
          <cell r="BP75">
            <v>2291.645</v>
          </cell>
          <cell r="BQ75">
            <v>2346.5920000000001</v>
          </cell>
          <cell r="BR75">
            <v>2402.8580000000002</v>
          </cell>
          <cell r="BS75">
            <v>2458.83</v>
          </cell>
        </row>
        <row r="76">
          <cell r="E76">
            <v>710</v>
          </cell>
          <cell r="F76">
            <v>13683.162</v>
          </cell>
          <cell r="G76">
            <v>13993.888000000001</v>
          </cell>
          <cell r="H76">
            <v>14322.409</v>
          </cell>
          <cell r="I76">
            <v>14665.138999999999</v>
          </cell>
          <cell r="J76">
            <v>15019.626</v>
          </cell>
          <cell r="K76">
            <v>15384.557000000001</v>
          </cell>
          <cell r="L76">
            <v>15759.812</v>
          </cell>
          <cell r="M76">
            <v>16146.41</v>
          </cell>
          <cell r="N76">
            <v>16546.324000000001</v>
          </cell>
          <cell r="O76">
            <v>16962.183000000001</v>
          </cell>
          <cell r="P76">
            <v>17396.366999999998</v>
          </cell>
          <cell r="Q76">
            <v>17850.044999999998</v>
          </cell>
          <cell r="R76">
            <v>18322.334999999999</v>
          </cell>
          <cell r="S76">
            <v>18809.938999999998</v>
          </cell>
          <cell r="T76">
            <v>19308.166000000001</v>
          </cell>
          <cell r="U76">
            <v>19813.947</v>
          </cell>
          <cell r="V76">
            <v>20325.23</v>
          </cell>
          <cell r="W76">
            <v>20843.785</v>
          </cell>
          <cell r="X76">
            <v>21374.931</v>
          </cell>
          <cell r="Y76">
            <v>21926.165000000001</v>
          </cell>
          <cell r="Z76">
            <v>22502.502</v>
          </cell>
          <cell r="AA76">
            <v>23106.806</v>
          </cell>
          <cell r="AB76">
            <v>23736.489000000001</v>
          </cell>
          <cell r="AC76">
            <v>24384.538</v>
          </cell>
          <cell r="AD76">
            <v>25040.94</v>
          </cell>
          <cell r="AE76">
            <v>25698.856</v>
          </cell>
          <cell r="AF76">
            <v>26354.14</v>
          </cell>
          <cell r="AG76">
            <v>27009.755000000001</v>
          </cell>
          <cell r="AH76">
            <v>27674.446</v>
          </cell>
          <cell r="AI76">
            <v>28360.82</v>
          </cell>
          <cell r="AJ76">
            <v>29077.143</v>
          </cell>
          <cell r="AK76">
            <v>29828.874</v>
          </cell>
          <cell r="AL76">
            <v>30611.205999999998</v>
          </cell>
          <cell r="AM76">
            <v>31409.913</v>
          </cell>
          <cell r="AN76">
            <v>32204.952000000001</v>
          </cell>
          <cell r="AO76">
            <v>32983.012999999999</v>
          </cell>
          <cell r="AP76">
            <v>33733.546999999999</v>
          </cell>
          <cell r="AQ76">
            <v>34463.076999999997</v>
          </cell>
          <cell r="AR76">
            <v>35195.597999999998</v>
          </cell>
          <cell r="AS76">
            <v>35965.131000000001</v>
          </cell>
          <cell r="AT76">
            <v>36793.49</v>
          </cell>
          <cell r="AU76">
            <v>37692.366999999998</v>
          </cell>
          <cell r="AV76">
            <v>38646.788</v>
          </cell>
          <cell r="AW76">
            <v>39619.538999999997</v>
          </cell>
          <cell r="AX76">
            <v>40558.495000000003</v>
          </cell>
          <cell r="AY76">
            <v>41426.81</v>
          </cell>
          <cell r="AZ76">
            <v>42210.216</v>
          </cell>
          <cell r="BA76">
            <v>42921.506000000001</v>
          </cell>
          <cell r="BB76">
            <v>43584.03</v>
          </cell>
          <cell r="BC76">
            <v>44233.73</v>
          </cell>
          <cell r="BD76">
            <v>44896.856</v>
          </cell>
          <cell r="BE76">
            <v>45579.161</v>
          </cell>
          <cell r="BF76">
            <v>46272.222999999998</v>
          </cell>
          <cell r="BG76">
            <v>46971.25</v>
          </cell>
          <cell r="BH76">
            <v>47667.15</v>
          </cell>
          <cell r="BI76">
            <v>48352.951000000001</v>
          </cell>
          <cell r="BJ76">
            <v>49027.805</v>
          </cell>
          <cell r="BK76">
            <v>49693.58</v>
          </cell>
          <cell r="BL76">
            <v>50348.811000000002</v>
          </cell>
          <cell r="BM76">
            <v>50992.034</v>
          </cell>
          <cell r="BN76">
            <v>51621.593999999997</v>
          </cell>
          <cell r="BO76">
            <v>52237.271999999997</v>
          </cell>
          <cell r="BP76">
            <v>52837.273999999998</v>
          </cell>
          <cell r="BQ76">
            <v>53416.608999999997</v>
          </cell>
          <cell r="BR76">
            <v>53969.053999999996</v>
          </cell>
          <cell r="BS76">
            <v>54490.406000000003</v>
          </cell>
        </row>
        <row r="77">
          <cell r="E77">
            <v>748</v>
          </cell>
          <cell r="F77">
            <v>273</v>
          </cell>
          <cell r="G77">
            <v>278.952</v>
          </cell>
          <cell r="H77">
            <v>285.33800000000002</v>
          </cell>
          <cell r="I77">
            <v>292.18900000000002</v>
          </cell>
          <cell r="J77">
            <v>299.50200000000001</v>
          </cell>
          <cell r="K77">
            <v>307.24900000000002</v>
          </cell>
          <cell r="L77">
            <v>315.36099999999999</v>
          </cell>
          <cell r="M77">
            <v>323.74</v>
          </cell>
          <cell r="N77">
            <v>332.26400000000001</v>
          </cell>
          <cell r="O77">
            <v>340.79899999999998</v>
          </cell>
          <cell r="P77">
            <v>349.233</v>
          </cell>
          <cell r="Q77">
            <v>357.52199999999999</v>
          </cell>
          <cell r="R77">
            <v>365.71899999999999</v>
          </cell>
          <cell r="S77">
            <v>373.99099999999999</v>
          </cell>
          <cell r="T77">
            <v>382.57499999999999</v>
          </cell>
          <cell r="U77">
            <v>391.65899999999999</v>
          </cell>
          <cell r="V77">
            <v>401.29500000000002</v>
          </cell>
          <cell r="W77">
            <v>411.47800000000001</v>
          </cell>
          <cell r="X77">
            <v>422.26600000000002</v>
          </cell>
          <cell r="Y77">
            <v>433.709</v>
          </cell>
          <cell r="Z77">
            <v>445.84399999999999</v>
          </cell>
          <cell r="AA77">
            <v>458.71699999999998</v>
          </cell>
          <cell r="AB77">
            <v>472.33699999999999</v>
          </cell>
          <cell r="AC77">
            <v>486.65600000000001</v>
          </cell>
          <cell r="AD77">
            <v>501.596</v>
          </cell>
          <cell r="AE77">
            <v>517.1</v>
          </cell>
          <cell r="AF77">
            <v>533.26400000000001</v>
          </cell>
          <cell r="AG77">
            <v>550.13499999999999</v>
          </cell>
          <cell r="AH77">
            <v>567.55999999999995</v>
          </cell>
          <cell r="AI77">
            <v>585.33500000000004</v>
          </cell>
          <cell r="AJ77">
            <v>603.37300000000005</v>
          </cell>
          <cell r="AK77">
            <v>621.31399999999996</v>
          </cell>
          <cell r="AL77">
            <v>639.33299999999997</v>
          </cell>
          <cell r="AM77">
            <v>658.49599999999998</v>
          </cell>
          <cell r="AN77">
            <v>680.25300000000004</v>
          </cell>
          <cell r="AO77">
            <v>705.49199999999996</v>
          </cell>
          <cell r="AP77">
            <v>734.79</v>
          </cell>
          <cell r="AQ77">
            <v>767.41700000000003</v>
          </cell>
          <cell r="AR77">
            <v>801.35</v>
          </cell>
          <cell r="AS77">
            <v>833.78700000000003</v>
          </cell>
          <cell r="AT77">
            <v>862.72799999999995</v>
          </cell>
          <cell r="AU77">
            <v>887.24800000000005</v>
          </cell>
          <cell r="AV77">
            <v>907.947</v>
          </cell>
          <cell r="AW77">
            <v>926.22400000000005</v>
          </cell>
          <cell r="AX77">
            <v>944.22299999999996</v>
          </cell>
          <cell r="AY77">
            <v>963.428</v>
          </cell>
          <cell r="AZ77">
            <v>984.50599999999997</v>
          </cell>
          <cell r="BA77">
            <v>1006.76</v>
          </cell>
          <cell r="BB77">
            <v>1028.694</v>
          </cell>
          <cell r="BC77">
            <v>1048.1510000000001</v>
          </cell>
          <cell r="BD77">
            <v>1063.7149999999999</v>
          </cell>
          <cell r="BE77">
            <v>1074.7650000000001</v>
          </cell>
          <cell r="BF77">
            <v>1082.1949999999999</v>
          </cell>
          <cell r="BG77">
            <v>1087.9490000000001</v>
          </cell>
          <cell r="BH77">
            <v>1094.7750000000001</v>
          </cell>
          <cell r="BI77">
            <v>1104.6420000000001</v>
          </cell>
          <cell r="BJ77">
            <v>1118.204</v>
          </cell>
          <cell r="BK77">
            <v>1134.8530000000001</v>
          </cell>
          <cell r="BL77">
            <v>1153.75</v>
          </cell>
          <cell r="BM77">
            <v>1173.529</v>
          </cell>
          <cell r="BN77">
            <v>1193.1479999999999</v>
          </cell>
          <cell r="BO77">
            <v>1212.4580000000001</v>
          </cell>
          <cell r="BP77">
            <v>1231.694</v>
          </cell>
          <cell r="BQ77">
            <v>1250.6410000000001</v>
          </cell>
          <cell r="BR77">
            <v>1269.1120000000001</v>
          </cell>
          <cell r="BS77">
            <v>1286.97</v>
          </cell>
        </row>
        <row r="78">
          <cell r="E78">
            <v>914</v>
          </cell>
          <cell r="F78">
            <v>70768.664000000004</v>
          </cell>
          <cell r="G78">
            <v>71857.914000000004</v>
          </cell>
          <cell r="H78">
            <v>73031.862999999998</v>
          </cell>
          <cell r="I78">
            <v>74283.688999999998</v>
          </cell>
          <cell r="J78">
            <v>75607.972999999998</v>
          </cell>
          <cell r="K78">
            <v>77000.694000000003</v>
          </cell>
          <cell r="L78">
            <v>78459.271999999997</v>
          </cell>
          <cell r="M78">
            <v>79982.514999999999</v>
          </cell>
          <cell r="N78">
            <v>81570.509000000005</v>
          </cell>
          <cell r="O78">
            <v>83224.356</v>
          </cell>
          <cell r="P78">
            <v>84945.548999999999</v>
          </cell>
          <cell r="Q78">
            <v>86735.224000000002</v>
          </cell>
          <cell r="R78">
            <v>88593.557000000001</v>
          </cell>
          <cell r="S78">
            <v>90519.482999999993</v>
          </cell>
          <cell r="T78">
            <v>92511.464000000007</v>
          </cell>
          <cell r="U78">
            <v>94569.714000000007</v>
          </cell>
          <cell r="V78">
            <v>96695.918999999994</v>
          </cell>
          <cell r="W78">
            <v>98895.021999999997</v>
          </cell>
          <cell r="X78">
            <v>101174.857</v>
          </cell>
          <cell r="Y78">
            <v>103545.31</v>
          </cell>
          <cell r="Z78">
            <v>106015.196</v>
          </cell>
          <cell r="AA78">
            <v>108586.94899999999</v>
          </cell>
          <cell r="AB78">
            <v>111264.198</v>
          </cell>
          <cell r="AC78">
            <v>114058.19</v>
          </cell>
          <cell r="AD78">
            <v>116982.181</v>
          </cell>
          <cell r="AE78">
            <v>120045.448</v>
          </cell>
          <cell r="AF78">
            <v>123252.738</v>
          </cell>
          <cell r="AG78">
            <v>126601.72100000001</v>
          </cell>
          <cell r="AH78">
            <v>130085.322</v>
          </cell>
          <cell r="AI78">
            <v>133692.43599999999</v>
          </cell>
          <cell r="AJ78">
            <v>137414.071</v>
          </cell>
          <cell r="AK78">
            <v>141251.136</v>
          </cell>
          <cell r="AL78">
            <v>145204.196</v>
          </cell>
          <cell r="AM78">
            <v>149263.56400000001</v>
          </cell>
          <cell r="AN78">
            <v>153417.19399999999</v>
          </cell>
          <cell r="AO78">
            <v>157657.72099999999</v>
          </cell>
          <cell r="AP78">
            <v>161978.62</v>
          </cell>
          <cell r="AQ78">
            <v>166385.16200000001</v>
          </cell>
          <cell r="AR78">
            <v>170896.30499999999</v>
          </cell>
          <cell r="AS78">
            <v>175538.579</v>
          </cell>
          <cell r="AT78">
            <v>180330.55799999999</v>
          </cell>
          <cell r="AU78">
            <v>185283.932</v>
          </cell>
          <cell r="AV78">
            <v>190392.61199999999</v>
          </cell>
          <cell r="AW78">
            <v>195636.228</v>
          </cell>
          <cell r="AX78">
            <v>200984.78200000001</v>
          </cell>
          <cell r="AY78">
            <v>206419.06700000001</v>
          </cell>
          <cell r="AZ78">
            <v>211937.38800000001</v>
          </cell>
          <cell r="BA78">
            <v>217555.40100000001</v>
          </cell>
          <cell r="BB78">
            <v>223293.11499999999</v>
          </cell>
          <cell r="BC78">
            <v>229178.389</v>
          </cell>
          <cell r="BD78">
            <v>235235.16800000001</v>
          </cell>
          <cell r="BE78">
            <v>241469.77299999999</v>
          </cell>
          <cell r="BF78">
            <v>247888.508</v>
          </cell>
          <cell r="BG78">
            <v>254515.35800000001</v>
          </cell>
          <cell r="BH78">
            <v>261378.30100000001</v>
          </cell>
          <cell r="BI78">
            <v>268497.83399999997</v>
          </cell>
          <cell r="BJ78">
            <v>275883.16200000001</v>
          </cell>
          <cell r="BK78">
            <v>283532.32299999997</v>
          </cell>
          <cell r="BL78">
            <v>291439.52899999998</v>
          </cell>
          <cell r="BM78">
            <v>299593.17700000003</v>
          </cell>
          <cell r="BN78">
            <v>307982.413</v>
          </cell>
          <cell r="BO78">
            <v>316608.32799999998</v>
          </cell>
          <cell r="BP78">
            <v>325467.85200000001</v>
          </cell>
          <cell r="BQ78">
            <v>334540.21399999998</v>
          </cell>
          <cell r="BR78">
            <v>343798.78100000002</v>
          </cell>
          <cell r="BS78">
            <v>353223.96299999999</v>
          </cell>
        </row>
        <row r="79">
          <cell r="E79">
            <v>204</v>
          </cell>
          <cell r="F79">
            <v>2255.221</v>
          </cell>
          <cell r="G79">
            <v>2258.049</v>
          </cell>
          <cell r="H79">
            <v>2264.3780000000002</v>
          </cell>
          <cell r="I79">
            <v>2274.13</v>
          </cell>
          <cell r="J79">
            <v>2287.2249999999999</v>
          </cell>
          <cell r="K79">
            <v>2303.585</v>
          </cell>
          <cell r="L79">
            <v>2323.1309999999999</v>
          </cell>
          <cell r="M79">
            <v>2345.7820000000002</v>
          </cell>
          <cell r="N79">
            <v>2371.4609999999998</v>
          </cell>
          <cell r="O79">
            <v>2400.0940000000001</v>
          </cell>
          <cell r="P79">
            <v>2431.62</v>
          </cell>
          <cell r="Q79">
            <v>2466.002</v>
          </cell>
          <cell r="R79">
            <v>2503.232</v>
          </cell>
          <cell r="S79">
            <v>2543.335</v>
          </cell>
          <cell r="T79">
            <v>2586.3620000000001</v>
          </cell>
          <cell r="U79">
            <v>2632.36</v>
          </cell>
          <cell r="V79">
            <v>2681.3820000000001</v>
          </cell>
          <cell r="W79">
            <v>2733.45</v>
          </cell>
          <cell r="X79">
            <v>2788.5509999999999</v>
          </cell>
          <cell r="Y79">
            <v>2846.652</v>
          </cell>
          <cell r="Z79">
            <v>2907.7689999999998</v>
          </cell>
          <cell r="AA79">
            <v>2971.9409999999998</v>
          </cell>
          <cell r="AB79">
            <v>3039.3</v>
          </cell>
          <cell r="AC79">
            <v>3110.0740000000001</v>
          </cell>
          <cell r="AD79">
            <v>3184.547</v>
          </cell>
          <cell r="AE79">
            <v>3262.9589999999998</v>
          </cell>
          <cell r="AF79">
            <v>3345.5010000000002</v>
          </cell>
          <cell r="AG79">
            <v>3432.2620000000002</v>
          </cell>
          <cell r="AH79">
            <v>3523.27</v>
          </cell>
          <cell r="AI79">
            <v>3618.509</v>
          </cell>
          <cell r="AJ79">
            <v>3718.0239999999999</v>
          </cell>
          <cell r="AK79">
            <v>3822.2060000000001</v>
          </cell>
          <cell r="AL79">
            <v>3931.355</v>
          </cell>
          <cell r="AM79">
            <v>4045.3519999999999</v>
          </cell>
          <cell r="AN79">
            <v>4163.9679999999998</v>
          </cell>
          <cell r="AO79">
            <v>4287.2629999999999</v>
          </cell>
          <cell r="AP79">
            <v>4414.45</v>
          </cell>
          <cell r="AQ79">
            <v>4546.1360000000004</v>
          </cell>
          <cell r="AR79">
            <v>4685.375</v>
          </cell>
          <cell r="AS79">
            <v>4836.24</v>
          </cell>
          <cell r="AT79">
            <v>5001.2709999999997</v>
          </cell>
          <cell r="AU79">
            <v>5182.5249999999996</v>
          </cell>
          <cell r="AV79">
            <v>5378.2259999999997</v>
          </cell>
          <cell r="AW79">
            <v>5582.42</v>
          </cell>
          <cell r="AX79">
            <v>5786.7939999999999</v>
          </cell>
          <cell r="AY79">
            <v>5985.6580000000004</v>
          </cell>
          <cell r="AZ79">
            <v>6176.3180000000002</v>
          </cell>
          <cell r="BA79">
            <v>6361.3010000000004</v>
          </cell>
          <cell r="BB79">
            <v>6546.4930000000004</v>
          </cell>
          <cell r="BC79">
            <v>6740.491</v>
          </cell>
          <cell r="BD79">
            <v>6949.366</v>
          </cell>
          <cell r="BE79">
            <v>7174.9110000000001</v>
          </cell>
          <cell r="BF79">
            <v>7414.7439999999997</v>
          </cell>
          <cell r="BG79">
            <v>7665.6809999999996</v>
          </cell>
          <cell r="BH79">
            <v>7922.7960000000003</v>
          </cell>
          <cell r="BI79">
            <v>8182.3620000000001</v>
          </cell>
          <cell r="BJ79">
            <v>8443.7170000000006</v>
          </cell>
          <cell r="BK79">
            <v>8707.6370000000006</v>
          </cell>
          <cell r="BL79">
            <v>8973.5249999999996</v>
          </cell>
          <cell r="BM79">
            <v>9240.982</v>
          </cell>
          <cell r="BN79">
            <v>9509.7980000000007</v>
          </cell>
          <cell r="BO79">
            <v>9779.3909999999996</v>
          </cell>
          <cell r="BP79">
            <v>10049.791999999999</v>
          </cell>
          <cell r="BQ79">
            <v>10322.232</v>
          </cell>
          <cell r="BR79">
            <v>10598.482</v>
          </cell>
          <cell r="BS79">
            <v>10879.829</v>
          </cell>
        </row>
        <row r="80">
          <cell r="E80">
            <v>854</v>
          </cell>
          <cell r="F80">
            <v>4284.4570000000003</v>
          </cell>
          <cell r="G80">
            <v>4324.4930000000004</v>
          </cell>
          <cell r="H80">
            <v>4367.1369999999997</v>
          </cell>
          <cell r="I80">
            <v>4413.2030000000004</v>
          </cell>
          <cell r="J80">
            <v>4463.165</v>
          </cell>
          <cell r="K80">
            <v>4517.1549999999997</v>
          </cell>
          <cell r="L80">
            <v>4574.942</v>
          </cell>
          <cell r="M80">
            <v>4635.9539999999997</v>
          </cell>
          <cell r="N80">
            <v>4699.3419999999996</v>
          </cell>
          <cell r="O80">
            <v>4764.08</v>
          </cell>
          <cell r="P80">
            <v>4829.2910000000002</v>
          </cell>
          <cell r="Q80">
            <v>4894.5780000000004</v>
          </cell>
          <cell r="R80">
            <v>4960.3249999999998</v>
          </cell>
          <cell r="S80">
            <v>5027.8180000000002</v>
          </cell>
          <cell r="T80">
            <v>5098.8919999999998</v>
          </cell>
          <cell r="U80">
            <v>5174.8689999999997</v>
          </cell>
          <cell r="V80">
            <v>5256.3630000000003</v>
          </cell>
          <cell r="W80">
            <v>5343.02</v>
          </cell>
          <cell r="X80">
            <v>5434.04</v>
          </cell>
          <cell r="Y80">
            <v>5528.1719999999996</v>
          </cell>
          <cell r="Z80">
            <v>5624.5969999999998</v>
          </cell>
          <cell r="AA80">
            <v>5723.3789999999999</v>
          </cell>
          <cell r="AB80">
            <v>5825.1710000000003</v>
          </cell>
          <cell r="AC80">
            <v>5930.4870000000001</v>
          </cell>
          <cell r="AD80">
            <v>6040.0439999999999</v>
          </cell>
          <cell r="AE80">
            <v>6154.5479999999998</v>
          </cell>
          <cell r="AF80">
            <v>6274.0370000000003</v>
          </cell>
          <cell r="AG80">
            <v>6398.9369999999999</v>
          </cell>
          <cell r="AH80">
            <v>6530.82</v>
          </cell>
          <cell r="AI80">
            <v>6671.6589999999997</v>
          </cell>
          <cell r="AJ80">
            <v>6822.84</v>
          </cell>
          <cell r="AK80">
            <v>6985.1580000000004</v>
          </cell>
          <cell r="AL80">
            <v>7158.2560000000003</v>
          </cell>
          <cell r="AM80">
            <v>7340.9070000000002</v>
          </cell>
          <cell r="AN80">
            <v>7531.2439999999997</v>
          </cell>
          <cell r="AO80">
            <v>7727.9120000000003</v>
          </cell>
          <cell r="AP80">
            <v>7930.69</v>
          </cell>
          <cell r="AQ80">
            <v>8140.076</v>
          </cell>
          <cell r="AR80">
            <v>8356.3060000000005</v>
          </cell>
          <cell r="AS80">
            <v>8579.8250000000007</v>
          </cell>
          <cell r="AT80">
            <v>8811.0329999999994</v>
          </cell>
          <cell r="AU80">
            <v>9050.09</v>
          </cell>
          <cell r="AV80">
            <v>9297.116</v>
          </cell>
          <cell r="AW80">
            <v>9552.473</v>
          </cell>
          <cell r="AX80">
            <v>9816.5859999999993</v>
          </cell>
          <cell r="AY80">
            <v>10089.876</v>
          </cell>
          <cell r="AZ80">
            <v>10372.808999999999</v>
          </cell>
          <cell r="BA80">
            <v>10665.781000000001</v>
          </cell>
          <cell r="BB80">
            <v>10969.093000000001</v>
          </cell>
          <cell r="BC80">
            <v>11283.016</v>
          </cell>
          <cell r="BD80">
            <v>11607.944</v>
          </cell>
          <cell r="BE80">
            <v>11943.74</v>
          </cell>
          <cell r="BF80">
            <v>12290.984</v>
          </cell>
          <cell r="BG80">
            <v>12651.596</v>
          </cell>
          <cell r="BH80">
            <v>13028.039000000001</v>
          </cell>
          <cell r="BI80">
            <v>13421.929</v>
          </cell>
          <cell r="BJ80">
            <v>13834.195</v>
          </cell>
          <cell r="BK80">
            <v>14264.002</v>
          </cell>
          <cell r="BL80">
            <v>14709.011</v>
          </cell>
          <cell r="BM80">
            <v>15165.856</v>
          </cell>
          <cell r="BN80">
            <v>15632.066000000001</v>
          </cell>
          <cell r="BO80">
            <v>16106.851000000001</v>
          </cell>
          <cell r="BP80">
            <v>16590.812999999998</v>
          </cell>
          <cell r="BQ80">
            <v>17084.554</v>
          </cell>
          <cell r="BR80">
            <v>17589.198</v>
          </cell>
          <cell r="BS80">
            <v>18105.57</v>
          </cell>
        </row>
        <row r="81">
          <cell r="E81">
            <v>132</v>
          </cell>
          <cell r="F81">
            <v>178.066</v>
          </cell>
          <cell r="G81">
            <v>186.124</v>
          </cell>
          <cell r="H81">
            <v>191.52099999999999</v>
          </cell>
          <cell r="I81">
            <v>194.839</v>
          </cell>
          <cell r="J81">
            <v>196.63200000000001</v>
          </cell>
          <cell r="K81">
            <v>197.422</v>
          </cell>
          <cell r="L81">
            <v>197.702</v>
          </cell>
          <cell r="M81">
            <v>197.93299999999999</v>
          </cell>
          <cell r="N81">
            <v>198.541</v>
          </cell>
          <cell r="O81">
            <v>199.90299999999999</v>
          </cell>
          <cell r="P81">
            <v>202.316</v>
          </cell>
          <cell r="Q81">
            <v>205.958</v>
          </cell>
          <cell r="R81">
            <v>210.86600000000001</v>
          </cell>
          <cell r="S81">
            <v>216.91300000000001</v>
          </cell>
          <cell r="T81">
            <v>223.85400000000001</v>
          </cell>
          <cell r="U81">
            <v>231.42699999999999</v>
          </cell>
          <cell r="V81">
            <v>239.76499999999999</v>
          </cell>
          <cell r="W81">
            <v>248.733</v>
          </cell>
          <cell r="X81">
            <v>257.47800000000001</v>
          </cell>
          <cell r="Y81">
            <v>264.88499999999999</v>
          </cell>
          <cell r="Z81">
            <v>270.197</v>
          </cell>
          <cell r="AA81">
            <v>273.053</v>
          </cell>
          <cell r="AB81">
            <v>273.78800000000001</v>
          </cell>
          <cell r="AC81">
            <v>273.21100000000001</v>
          </cell>
          <cell r="AD81">
            <v>272.50900000000001</v>
          </cell>
          <cell r="AE81">
            <v>272.57499999999999</v>
          </cell>
          <cell r="AF81">
            <v>273.625</v>
          </cell>
          <cell r="AG81">
            <v>275.47899999999998</v>
          </cell>
          <cell r="AH81">
            <v>278.15199999999999</v>
          </cell>
          <cell r="AI81">
            <v>281.55500000000001</v>
          </cell>
          <cell r="AJ81">
            <v>285.59899999999999</v>
          </cell>
          <cell r="AK81">
            <v>290.428</v>
          </cell>
          <cell r="AL81">
            <v>296.07100000000003</v>
          </cell>
          <cell r="AM81">
            <v>302.17399999999998</v>
          </cell>
          <cell r="AN81">
            <v>308.25099999999998</v>
          </cell>
          <cell r="AO81">
            <v>313.976</v>
          </cell>
          <cell r="AP81">
            <v>319.161</v>
          </cell>
          <cell r="AQ81">
            <v>323.97199999999998</v>
          </cell>
          <cell r="AR81">
            <v>328.86099999999999</v>
          </cell>
          <cell r="AS81">
            <v>334.47300000000001</v>
          </cell>
          <cell r="AT81">
            <v>341.25599999999997</v>
          </cell>
          <cell r="AU81">
            <v>349.32600000000002</v>
          </cell>
          <cell r="AV81">
            <v>358.47300000000001</v>
          </cell>
          <cell r="AW81">
            <v>368.423</v>
          </cell>
          <cell r="AX81">
            <v>378.76299999999998</v>
          </cell>
          <cell r="AY81">
            <v>389.15600000000001</v>
          </cell>
          <cell r="AZ81">
            <v>399.50799999999998</v>
          </cell>
          <cell r="BA81">
            <v>409.80500000000001</v>
          </cell>
          <cell r="BB81">
            <v>419.88400000000001</v>
          </cell>
          <cell r="BC81">
            <v>429.57600000000002</v>
          </cell>
          <cell r="BD81">
            <v>438.73700000000002</v>
          </cell>
          <cell r="BE81">
            <v>447.35700000000003</v>
          </cell>
          <cell r="BF81">
            <v>455.39600000000002</v>
          </cell>
          <cell r="BG81">
            <v>462.67500000000001</v>
          </cell>
          <cell r="BH81">
            <v>468.98500000000001</v>
          </cell>
          <cell r="BI81">
            <v>474.22399999999999</v>
          </cell>
          <cell r="BJ81">
            <v>478.26499999999999</v>
          </cell>
          <cell r="BK81">
            <v>481.27800000000002</v>
          </cell>
          <cell r="BL81">
            <v>483.82400000000001</v>
          </cell>
          <cell r="BM81">
            <v>486.673</v>
          </cell>
          <cell r="BN81">
            <v>490.37900000000002</v>
          </cell>
          <cell r="BO81">
            <v>495.15899999999999</v>
          </cell>
          <cell r="BP81">
            <v>500.87</v>
          </cell>
          <cell r="BQ81">
            <v>507.25799999999998</v>
          </cell>
          <cell r="BR81">
            <v>513.90599999999995</v>
          </cell>
          <cell r="BS81">
            <v>520.50199999999995</v>
          </cell>
        </row>
        <row r="82">
          <cell r="E82">
            <v>384</v>
          </cell>
          <cell r="F82">
            <v>2630.1309999999999</v>
          </cell>
          <cell r="G82">
            <v>2692.6570000000002</v>
          </cell>
          <cell r="H82">
            <v>2758.4549999999999</v>
          </cell>
          <cell r="I82">
            <v>2827.8440000000001</v>
          </cell>
          <cell r="J82">
            <v>2901.3069999999998</v>
          </cell>
          <cell r="K82">
            <v>2979.491</v>
          </cell>
          <cell r="L82">
            <v>3063.2179999999998</v>
          </cell>
          <cell r="M82">
            <v>3153.4720000000002</v>
          </cell>
          <cell r="N82">
            <v>3251.3670000000002</v>
          </cell>
          <cell r="O82">
            <v>3358.0889999999999</v>
          </cell>
          <cell r="P82">
            <v>3474.7240000000002</v>
          </cell>
          <cell r="Q82">
            <v>3602.0749999999998</v>
          </cell>
          <cell r="R82">
            <v>3740.5030000000002</v>
          </cell>
          <cell r="S82">
            <v>3889.8589999999999</v>
          </cell>
          <cell r="T82">
            <v>4049.6750000000002</v>
          </cell>
          <cell r="U82">
            <v>4219.7389999999996</v>
          </cell>
          <cell r="V82">
            <v>4400.0540000000001</v>
          </cell>
          <cell r="W82">
            <v>4591.2380000000003</v>
          </cell>
          <cell r="X82">
            <v>4794.3990000000003</v>
          </cell>
          <cell r="Y82">
            <v>5010.9620000000004</v>
          </cell>
          <cell r="Z82">
            <v>5241.9139999999998</v>
          </cell>
          <cell r="AA82">
            <v>5487.5940000000001</v>
          </cell>
          <cell r="AB82">
            <v>5747.6329999999998</v>
          </cell>
          <cell r="AC82">
            <v>6021.4049999999997</v>
          </cell>
          <cell r="AD82">
            <v>6307.9359999999997</v>
          </cell>
          <cell r="AE82">
            <v>6606.3950000000004</v>
          </cell>
          <cell r="AF82">
            <v>6916.3019999999997</v>
          </cell>
          <cell r="AG82">
            <v>7237.451</v>
          </cell>
          <cell r="AH82">
            <v>7569.558</v>
          </cell>
          <cell r="AI82">
            <v>7912.39</v>
          </cell>
          <cell r="AJ82">
            <v>8265.5490000000009</v>
          </cell>
          <cell r="AK82">
            <v>8629.1209999999992</v>
          </cell>
          <cell r="AL82">
            <v>9002.4</v>
          </cell>
          <cell r="AM82">
            <v>9383.2890000000007</v>
          </cell>
          <cell r="AN82">
            <v>9769.1049999999996</v>
          </cell>
          <cell r="AO82">
            <v>10158.032999999999</v>
          </cell>
          <cell r="AP82">
            <v>10548.147999999999</v>
          </cell>
          <cell r="AQ82">
            <v>10939.986999999999</v>
          </cell>
          <cell r="AR82">
            <v>11337.121999999999</v>
          </cell>
          <cell r="AS82">
            <v>11744.698</v>
          </cell>
          <cell r="AT82">
            <v>12165.909</v>
          </cell>
          <cell r="AU82">
            <v>12600.967000000001</v>
          </cell>
          <cell r="AV82">
            <v>13046.906999999999</v>
          </cell>
          <cell r="AW82">
            <v>13499.696</v>
          </cell>
          <cell r="AX82">
            <v>13953.779</v>
          </cell>
          <cell r="AY82">
            <v>14404.34</v>
          </cell>
          <cell r="AZ82">
            <v>14852.192999999999</v>
          </cell>
          <cell r="BA82">
            <v>15296.39</v>
          </cell>
          <cell r="BB82">
            <v>15728.482</v>
          </cell>
          <cell r="BC82">
            <v>16137.824000000001</v>
          </cell>
          <cell r="BD82">
            <v>16517.948</v>
          </cell>
          <cell r="BE82">
            <v>16865.376</v>
          </cell>
          <cell r="BF82">
            <v>17185.420999999998</v>
          </cell>
          <cell r="BG82">
            <v>17491.539000000001</v>
          </cell>
          <cell r="BH82">
            <v>17802.516</v>
          </cell>
          <cell r="BI82">
            <v>18132.702000000001</v>
          </cell>
          <cell r="BJ82">
            <v>18486.392</v>
          </cell>
          <cell r="BK82">
            <v>18862.171999999999</v>
          </cell>
          <cell r="BL82">
            <v>19261.647000000001</v>
          </cell>
          <cell r="BM82">
            <v>19684.909</v>
          </cell>
          <cell r="BN82">
            <v>20131.706999999999</v>
          </cell>
          <cell r="BO82">
            <v>20604.171999999999</v>
          </cell>
          <cell r="BP82">
            <v>21102.641</v>
          </cell>
          <cell r="BQ82">
            <v>21622.49</v>
          </cell>
          <cell r="BR82">
            <v>22157.107</v>
          </cell>
          <cell r="BS82">
            <v>22701.556</v>
          </cell>
        </row>
        <row r="83">
          <cell r="E83">
            <v>270</v>
          </cell>
          <cell r="F83">
            <v>271.37200000000001</v>
          </cell>
          <cell r="G83">
            <v>272.71899999999999</v>
          </cell>
          <cell r="H83">
            <v>276.77100000000002</v>
          </cell>
          <cell r="I83">
            <v>283.50200000000001</v>
          </cell>
          <cell r="J83">
            <v>292.71300000000002</v>
          </cell>
          <cell r="K83">
            <v>304.03300000000002</v>
          </cell>
          <cell r="L83">
            <v>316.90600000000001</v>
          </cell>
          <cell r="M83">
            <v>330.60300000000001</v>
          </cell>
          <cell r="N83">
            <v>344.26499999999999</v>
          </cell>
          <cell r="O83">
            <v>356.96600000000001</v>
          </cell>
          <cell r="P83">
            <v>367.92899999999997</v>
          </cell>
          <cell r="Q83">
            <v>376.73599999999999</v>
          </cell>
          <cell r="R83">
            <v>383.52499999999998</v>
          </cell>
          <cell r="S83">
            <v>389.07</v>
          </cell>
          <cell r="T83">
            <v>394.55200000000002</v>
          </cell>
          <cell r="U83">
            <v>400.86500000000001</v>
          </cell>
          <cell r="V83">
            <v>408.18200000000002</v>
          </cell>
          <cell r="W83">
            <v>416.34199999999998</v>
          </cell>
          <cell r="X83">
            <v>425.50900000000001</v>
          </cell>
          <cell r="Y83">
            <v>435.8</v>
          </cell>
          <cell r="Z83">
            <v>447.28300000000002</v>
          </cell>
          <cell r="AA83">
            <v>460.19299999999998</v>
          </cell>
          <cell r="AB83">
            <v>474.53800000000001</v>
          </cell>
          <cell r="AC83">
            <v>489.86</v>
          </cell>
          <cell r="AD83">
            <v>505.512</v>
          </cell>
          <cell r="AE83">
            <v>521.07000000000005</v>
          </cell>
          <cell r="AF83">
            <v>536.40899999999999</v>
          </cell>
          <cell r="AG83">
            <v>551.82299999999998</v>
          </cell>
          <cell r="AH83">
            <v>567.82799999999997</v>
          </cell>
          <cell r="AI83">
            <v>585.15499999999997</v>
          </cell>
          <cell r="AJ83">
            <v>604.37099999999998</v>
          </cell>
          <cell r="AK83">
            <v>625.41300000000001</v>
          </cell>
          <cell r="AL83">
            <v>648.202</v>
          </cell>
          <cell r="AM83">
            <v>673.23</v>
          </cell>
          <cell r="AN83">
            <v>701.09699999999998</v>
          </cell>
          <cell r="AO83">
            <v>732.09199999999998</v>
          </cell>
          <cell r="AP83">
            <v>766.59799999999996</v>
          </cell>
          <cell r="AQ83">
            <v>804.13400000000001</v>
          </cell>
          <cell r="AR83">
            <v>843.06</v>
          </cell>
          <cell r="AS83">
            <v>881.14599999999996</v>
          </cell>
          <cell r="AT83">
            <v>916.81100000000004</v>
          </cell>
          <cell r="AU83">
            <v>949.49</v>
          </cell>
          <cell r="AV83">
            <v>979.70100000000002</v>
          </cell>
          <cell r="AW83">
            <v>1008.296</v>
          </cell>
          <cell r="AX83">
            <v>1036.627</v>
          </cell>
          <cell r="AY83">
            <v>1065.7460000000001</v>
          </cell>
          <cell r="AZ83">
            <v>1095.8389999999999</v>
          </cell>
          <cell r="BA83">
            <v>1126.7860000000001</v>
          </cell>
          <cell r="BB83">
            <v>1159.001</v>
          </cell>
          <cell r="BC83">
            <v>1192.92</v>
          </cell>
          <cell r="BD83">
            <v>1228.8630000000001</v>
          </cell>
          <cell r="BE83">
            <v>1267.1030000000001</v>
          </cell>
          <cell r="BF83">
            <v>1307.674</v>
          </cell>
          <cell r="BG83">
            <v>1350.345</v>
          </cell>
          <cell r="BH83">
            <v>1394.7270000000001</v>
          </cell>
          <cell r="BI83">
            <v>1440.5419999999999</v>
          </cell>
          <cell r="BJ83">
            <v>1487.731</v>
          </cell>
          <cell r="BK83">
            <v>1536.424</v>
          </cell>
          <cell r="BL83">
            <v>1586.749</v>
          </cell>
          <cell r="BM83">
            <v>1638.8989999999999</v>
          </cell>
          <cell r="BN83">
            <v>1693.002</v>
          </cell>
          <cell r="BO83">
            <v>1749.0989999999999</v>
          </cell>
          <cell r="BP83">
            <v>1807.1079999999999</v>
          </cell>
          <cell r="BQ83">
            <v>1866.8779999999999</v>
          </cell>
          <cell r="BR83">
            <v>1928.201</v>
          </cell>
          <cell r="BS83">
            <v>1990.924</v>
          </cell>
        </row>
        <row r="84">
          <cell r="E84">
            <v>288</v>
          </cell>
          <cell r="F84">
            <v>4980.8779999999997</v>
          </cell>
          <cell r="G84">
            <v>5068.433</v>
          </cell>
          <cell r="H84">
            <v>5191.2209999999995</v>
          </cell>
          <cell r="I84">
            <v>5339.1790000000001</v>
          </cell>
          <cell r="J84">
            <v>5504.2550000000001</v>
          </cell>
          <cell r="K84">
            <v>5680.4059999999999</v>
          </cell>
          <cell r="L84">
            <v>5863.6859999999997</v>
          </cell>
          <cell r="M84">
            <v>6052.1589999999997</v>
          </cell>
          <cell r="N84">
            <v>6245.6419999999998</v>
          </cell>
          <cell r="O84">
            <v>6445.2830000000004</v>
          </cell>
          <cell r="P84">
            <v>6652.2849999999999</v>
          </cell>
          <cell r="Q84">
            <v>6866.5450000000001</v>
          </cell>
          <cell r="R84">
            <v>7085.4629999999997</v>
          </cell>
          <cell r="S84">
            <v>7303.4319999999998</v>
          </cell>
          <cell r="T84">
            <v>7513.2860000000001</v>
          </cell>
          <cell r="U84">
            <v>7710.5469999999996</v>
          </cell>
          <cell r="V84">
            <v>7890.9920000000002</v>
          </cell>
          <cell r="W84">
            <v>8057.442</v>
          </cell>
          <cell r="X84">
            <v>8221.0210000000006</v>
          </cell>
          <cell r="Y84">
            <v>8397.3459999999995</v>
          </cell>
          <cell r="Z84">
            <v>8596.9770000000008</v>
          </cell>
          <cell r="AA84">
            <v>8827.2729999999992</v>
          </cell>
          <cell r="AB84">
            <v>9083.5750000000007</v>
          </cell>
          <cell r="AC84">
            <v>9350.1110000000008</v>
          </cell>
          <cell r="AD84">
            <v>9604.2800000000007</v>
          </cell>
          <cell r="AE84">
            <v>9831.4089999999997</v>
          </cell>
          <cell r="AF84">
            <v>10023.471</v>
          </cell>
          <cell r="AG84">
            <v>10189.888999999999</v>
          </cell>
          <cell r="AH84">
            <v>10354.49</v>
          </cell>
          <cell r="AI84">
            <v>10550.77</v>
          </cell>
          <cell r="AJ84">
            <v>10802.025</v>
          </cell>
          <cell r="AK84">
            <v>11117.608</v>
          </cell>
          <cell r="AL84">
            <v>11488.111999999999</v>
          </cell>
          <cell r="AM84">
            <v>11895.13</v>
          </cell>
          <cell r="AN84">
            <v>12311.165999999999</v>
          </cell>
          <cell r="AO84">
            <v>12716.237999999999</v>
          </cell>
          <cell r="AP84">
            <v>13103.975</v>
          </cell>
          <cell r="AQ84">
            <v>13480.380999999999</v>
          </cell>
          <cell r="AR84">
            <v>13852.597</v>
          </cell>
          <cell r="AS84">
            <v>14232.493</v>
          </cell>
          <cell r="AT84">
            <v>14628.26</v>
          </cell>
          <cell r="AU84">
            <v>15042.736000000001</v>
          </cell>
          <cell r="AV84">
            <v>15471.527</v>
          </cell>
          <cell r="AW84">
            <v>15907.244000000001</v>
          </cell>
          <cell r="AX84">
            <v>16339.343999999999</v>
          </cell>
          <cell r="AY84">
            <v>16760.991000000002</v>
          </cell>
          <cell r="AZ84">
            <v>17169.214</v>
          </cell>
          <cell r="BA84">
            <v>17568.582999999999</v>
          </cell>
          <cell r="BB84">
            <v>17969.006000000001</v>
          </cell>
          <cell r="BC84">
            <v>18384.425999999999</v>
          </cell>
          <cell r="BD84">
            <v>18824.993999999999</v>
          </cell>
          <cell r="BE84">
            <v>19293.804</v>
          </cell>
          <cell r="BF84">
            <v>19788.181</v>
          </cell>
          <cell r="BG84">
            <v>20305.396000000001</v>
          </cell>
          <cell r="BH84">
            <v>20840.492999999999</v>
          </cell>
          <cell r="BI84">
            <v>21389.513999999999</v>
          </cell>
          <cell r="BJ84">
            <v>21951.891</v>
          </cell>
          <cell r="BK84">
            <v>22528.041000000001</v>
          </cell>
          <cell r="BL84">
            <v>23115.919000000002</v>
          </cell>
          <cell r="BM84">
            <v>23713.164000000001</v>
          </cell>
          <cell r="BN84">
            <v>24317.734</v>
          </cell>
          <cell r="BO84">
            <v>24928.503000000001</v>
          </cell>
          <cell r="BP84">
            <v>25544.564999999999</v>
          </cell>
          <cell r="BQ84">
            <v>26164.432000000001</v>
          </cell>
          <cell r="BR84">
            <v>26786.598000000002</v>
          </cell>
          <cell r="BS84">
            <v>27409.893</v>
          </cell>
        </row>
        <row r="85">
          <cell r="E85">
            <v>324</v>
          </cell>
          <cell r="F85">
            <v>3093.6509999999998</v>
          </cell>
          <cell r="G85">
            <v>3141.5479999999998</v>
          </cell>
          <cell r="H85">
            <v>3185.5369999999998</v>
          </cell>
          <cell r="I85">
            <v>3228.1120000000001</v>
          </cell>
          <cell r="J85">
            <v>3271.1959999999999</v>
          </cell>
          <cell r="K85">
            <v>3316.1419999999998</v>
          </cell>
          <cell r="L85">
            <v>3363.7109999999998</v>
          </cell>
          <cell r="M85">
            <v>3414.0940000000001</v>
          </cell>
          <cell r="N85">
            <v>3466.9789999999998</v>
          </cell>
          <cell r="O85">
            <v>3521.6680000000001</v>
          </cell>
          <cell r="P85">
            <v>3577.413</v>
          </cell>
          <cell r="Q85">
            <v>3633.7779999999998</v>
          </cell>
          <cell r="R85">
            <v>3690.96</v>
          </cell>
          <cell r="S85">
            <v>3749.92</v>
          </cell>
          <cell r="T85">
            <v>3812.0039999999999</v>
          </cell>
          <cell r="U85">
            <v>3877.8040000000001</v>
          </cell>
          <cell r="V85">
            <v>3948.2060000000001</v>
          </cell>
          <cell r="W85">
            <v>4021.88</v>
          </cell>
          <cell r="X85">
            <v>4094.5279999999998</v>
          </cell>
          <cell r="Y85">
            <v>4160.375</v>
          </cell>
          <cell r="Z85">
            <v>4215.442</v>
          </cell>
          <cell r="AA85">
            <v>4259.1019999999999</v>
          </cell>
          <cell r="AB85">
            <v>4293.2079999999996</v>
          </cell>
          <cell r="AC85">
            <v>4319.5020000000004</v>
          </cell>
          <cell r="AD85">
            <v>4340.7479999999996</v>
          </cell>
          <cell r="AE85">
            <v>4359.7349999999997</v>
          </cell>
          <cell r="AF85">
            <v>4376.768</v>
          </cell>
          <cell r="AG85">
            <v>4393.5510000000004</v>
          </cell>
          <cell r="AH85">
            <v>4416.0739999999996</v>
          </cell>
          <cell r="AI85">
            <v>4451.8720000000003</v>
          </cell>
          <cell r="AJ85">
            <v>4506.5590000000002</v>
          </cell>
          <cell r="AK85">
            <v>4584.3050000000003</v>
          </cell>
          <cell r="AL85">
            <v>4684.9920000000002</v>
          </cell>
          <cell r="AM85">
            <v>4804.74</v>
          </cell>
          <cell r="AN85">
            <v>4937.2299999999996</v>
          </cell>
          <cell r="AO85">
            <v>5078.6890000000003</v>
          </cell>
          <cell r="AP85">
            <v>5223.5529999999999</v>
          </cell>
          <cell r="AQ85">
            <v>5375.058</v>
          </cell>
          <cell r="AR85">
            <v>5548.27</v>
          </cell>
          <cell r="AS85">
            <v>5763.8429999999998</v>
          </cell>
          <cell r="AT85">
            <v>6034.0820000000003</v>
          </cell>
          <cell r="AU85">
            <v>6367.11</v>
          </cell>
          <cell r="AV85">
            <v>6751.3940000000002</v>
          </cell>
          <cell r="AW85">
            <v>7155.5640000000003</v>
          </cell>
          <cell r="AX85">
            <v>7536.3890000000001</v>
          </cell>
          <cell r="AY85">
            <v>7863.0330000000004</v>
          </cell>
          <cell r="AZ85">
            <v>8124.799</v>
          </cell>
          <cell r="BA85">
            <v>8331.366</v>
          </cell>
          <cell r="BB85">
            <v>8497.5820000000003</v>
          </cell>
          <cell r="BC85">
            <v>8647.3359999999993</v>
          </cell>
          <cell r="BD85">
            <v>8799.1650000000009</v>
          </cell>
          <cell r="BE85">
            <v>8955.7559999999994</v>
          </cell>
          <cell r="BF85">
            <v>9114.2870000000003</v>
          </cell>
          <cell r="BG85">
            <v>9281.5720000000001</v>
          </cell>
          <cell r="BH85">
            <v>9464.7710000000006</v>
          </cell>
          <cell r="BI85">
            <v>9669.0229999999992</v>
          </cell>
          <cell r="BJ85">
            <v>9898.3009999999995</v>
          </cell>
          <cell r="BK85">
            <v>10152.521000000001</v>
          </cell>
          <cell r="BL85">
            <v>10427.356</v>
          </cell>
          <cell r="BM85">
            <v>10715.77</v>
          </cell>
          <cell r="BN85">
            <v>11012.406000000001</v>
          </cell>
          <cell r="BO85">
            <v>11316.351000000001</v>
          </cell>
          <cell r="BP85">
            <v>11628.767</v>
          </cell>
          <cell r="BQ85">
            <v>11948.726000000001</v>
          </cell>
          <cell r="BR85">
            <v>12275.527</v>
          </cell>
          <cell r="BS85">
            <v>12608.59</v>
          </cell>
        </row>
        <row r="86">
          <cell r="E86">
            <v>624</v>
          </cell>
          <cell r="F86">
            <v>535.42899999999997</v>
          </cell>
          <cell r="G86">
            <v>544.10299999999995</v>
          </cell>
          <cell r="H86">
            <v>552.03200000000004</v>
          </cell>
          <cell r="I86">
            <v>559.68799999999999</v>
          </cell>
          <cell r="J86">
            <v>567.40599999999995</v>
          </cell>
          <cell r="K86">
            <v>575.37699999999995</v>
          </cell>
          <cell r="L86">
            <v>583.64800000000002</v>
          </cell>
          <cell r="M86">
            <v>592.12400000000002</v>
          </cell>
          <cell r="N86">
            <v>600.59500000000003</v>
          </cell>
          <cell r="O86">
            <v>608.77300000000002</v>
          </cell>
          <cell r="P86">
            <v>616.40700000000004</v>
          </cell>
          <cell r="Q86">
            <v>623.41300000000001</v>
          </cell>
          <cell r="R86">
            <v>629.97299999999996</v>
          </cell>
          <cell r="S86">
            <v>636.59299999999996</v>
          </cell>
          <cell r="T86">
            <v>643.96199999999999</v>
          </cell>
          <cell r="U86">
            <v>652.56600000000003</v>
          </cell>
          <cell r="V86">
            <v>662.59699999999998</v>
          </cell>
          <cell r="W86">
            <v>673.89300000000003</v>
          </cell>
          <cell r="X86">
            <v>686.15499999999997</v>
          </cell>
          <cell r="Y86">
            <v>698.91700000000003</v>
          </cell>
          <cell r="Z86">
            <v>711.82799999999997</v>
          </cell>
          <cell r="AA86">
            <v>724.86300000000006</v>
          </cell>
          <cell r="AB86">
            <v>738.11699999999996</v>
          </cell>
          <cell r="AC86">
            <v>751.51199999999994</v>
          </cell>
          <cell r="AD86">
            <v>764.97400000000005</v>
          </cell>
          <cell r="AE86">
            <v>778.48199999999997</v>
          </cell>
          <cell r="AF86">
            <v>791.95899999999995</v>
          </cell>
          <cell r="AG86">
            <v>805.48099999999999</v>
          </cell>
          <cell r="AH86">
            <v>819.37099999999998</v>
          </cell>
          <cell r="AI86">
            <v>834.06799999999998</v>
          </cell>
          <cell r="AJ86">
            <v>849.88599999999997</v>
          </cell>
          <cell r="AK86">
            <v>866.947</v>
          </cell>
          <cell r="AL86">
            <v>885.16600000000005</v>
          </cell>
          <cell r="AM86">
            <v>904.39099999999996</v>
          </cell>
          <cell r="AN86">
            <v>924.37800000000004</v>
          </cell>
          <cell r="AO86">
            <v>944.94100000000003</v>
          </cell>
          <cell r="AP86">
            <v>966.03899999999999</v>
          </cell>
          <cell r="AQ86">
            <v>987.71799999999996</v>
          </cell>
          <cell r="AR86">
            <v>1009.967</v>
          </cell>
          <cell r="AS86">
            <v>1032.797</v>
          </cell>
          <cell r="AT86">
            <v>1056.2080000000001</v>
          </cell>
          <cell r="AU86">
            <v>1080.191</v>
          </cell>
          <cell r="AV86">
            <v>1104.7080000000001</v>
          </cell>
          <cell r="AW86">
            <v>1129.7059999999999</v>
          </cell>
          <cell r="AX86">
            <v>1155.1110000000001</v>
          </cell>
          <cell r="AY86">
            <v>1180.877</v>
          </cell>
          <cell r="AZ86">
            <v>1207.0060000000001</v>
          </cell>
          <cell r="BA86">
            <v>1233.52</v>
          </cell>
          <cell r="BB86">
            <v>1260.424</v>
          </cell>
          <cell r="BC86">
            <v>1287.7270000000001</v>
          </cell>
          <cell r="BD86">
            <v>1315.4549999999999</v>
          </cell>
          <cell r="BE86">
            <v>1343.646</v>
          </cell>
          <cell r="BF86">
            <v>1372.367</v>
          </cell>
          <cell r="BG86">
            <v>1401.7159999999999</v>
          </cell>
          <cell r="BH86">
            <v>1431.816</v>
          </cell>
          <cell r="BI86">
            <v>1462.7840000000001</v>
          </cell>
          <cell r="BJ86">
            <v>1494.6030000000001</v>
          </cell>
          <cell r="BK86">
            <v>1527.3420000000001</v>
          </cell>
          <cell r="BL86">
            <v>1561.2929999999999</v>
          </cell>
          <cell r="BM86">
            <v>1596.8320000000001</v>
          </cell>
          <cell r="BN86">
            <v>1634.1959999999999</v>
          </cell>
          <cell r="BO86">
            <v>1673.509</v>
          </cell>
          <cell r="BP86">
            <v>1714.62</v>
          </cell>
          <cell r="BQ86">
            <v>1757.1379999999999</v>
          </cell>
          <cell r="BR86">
            <v>1800.5129999999999</v>
          </cell>
          <cell r="BS86">
            <v>1844.325</v>
          </cell>
        </row>
        <row r="87">
          <cell r="E87">
            <v>430</v>
          </cell>
          <cell r="F87">
            <v>930.02599999999995</v>
          </cell>
          <cell r="G87">
            <v>943.24099999999999</v>
          </cell>
          <cell r="H87">
            <v>957.86400000000003</v>
          </cell>
          <cell r="I87">
            <v>973.89599999999996</v>
          </cell>
          <cell r="J87">
            <v>991.31200000000001</v>
          </cell>
          <cell r="K87">
            <v>1010.064</v>
          </cell>
          <cell r="L87">
            <v>1030.07</v>
          </cell>
          <cell r="M87">
            <v>1051.2249999999999</v>
          </cell>
          <cell r="N87">
            <v>1073.402</v>
          </cell>
          <cell r="O87">
            <v>1096.4680000000001</v>
          </cell>
          <cell r="P87">
            <v>1120.3140000000001</v>
          </cell>
          <cell r="Q87">
            <v>1144.896</v>
          </cell>
          <cell r="R87">
            <v>1170.2670000000001</v>
          </cell>
          <cell r="S87">
            <v>1196.588</v>
          </cell>
          <cell r="T87">
            <v>1224.0940000000001</v>
          </cell>
          <cell r="U87">
            <v>1252.9680000000001</v>
          </cell>
          <cell r="V87">
            <v>1283.3040000000001</v>
          </cell>
          <cell r="W87">
            <v>1315.1189999999999</v>
          </cell>
          <cell r="X87">
            <v>1348.4480000000001</v>
          </cell>
          <cell r="Y87">
            <v>1383.3050000000001</v>
          </cell>
          <cell r="Z87">
            <v>1419.7280000000001</v>
          </cell>
          <cell r="AA87">
            <v>1457.7139999999999</v>
          </cell>
          <cell r="AB87">
            <v>1497.356</v>
          </cell>
          <cell r="AC87">
            <v>1538.8820000000001</v>
          </cell>
          <cell r="AD87">
            <v>1582.5840000000001</v>
          </cell>
          <cell r="AE87">
            <v>1628.6559999999999</v>
          </cell>
          <cell r="AF87">
            <v>1676.0160000000001</v>
          </cell>
          <cell r="AG87">
            <v>1724.3130000000001</v>
          </cell>
          <cell r="AH87">
            <v>1775.2</v>
          </cell>
          <cell r="AI87">
            <v>1830.963</v>
          </cell>
          <cell r="AJ87">
            <v>1892.529</v>
          </cell>
          <cell r="AK87">
            <v>1961.7950000000001</v>
          </cell>
          <cell r="AL87">
            <v>2036.325</v>
          </cell>
          <cell r="AM87">
            <v>2107.5230000000001</v>
          </cell>
          <cell r="AN87">
            <v>2163.835</v>
          </cell>
          <cell r="AO87">
            <v>2197.442</v>
          </cell>
          <cell r="AP87">
            <v>2206.8670000000002</v>
          </cell>
          <cell r="AQ87">
            <v>2196.2040000000002</v>
          </cell>
          <cell r="AR87">
            <v>2170.4259999999999</v>
          </cell>
          <cell r="AS87">
            <v>2137.018</v>
          </cell>
          <cell r="AT87">
            <v>2102.877</v>
          </cell>
          <cell r="AU87">
            <v>2066.06</v>
          </cell>
          <cell r="AV87">
            <v>2028.672</v>
          </cell>
          <cell r="AW87">
            <v>2006.3489999999999</v>
          </cell>
          <cell r="AX87">
            <v>2019.1479999999999</v>
          </cell>
          <cell r="AY87">
            <v>2079.9209999999998</v>
          </cell>
          <cell r="AZ87">
            <v>2197.8009999999999</v>
          </cell>
          <cell r="BA87">
            <v>2365.29</v>
          </cell>
          <cell r="BB87">
            <v>2558.085</v>
          </cell>
          <cell r="BC87">
            <v>2741.7550000000001</v>
          </cell>
          <cell r="BD87">
            <v>2891.9679999999998</v>
          </cell>
          <cell r="BE87">
            <v>2998.77</v>
          </cell>
          <cell r="BF87">
            <v>3070.6729999999998</v>
          </cell>
          <cell r="BG87">
            <v>3124.2220000000002</v>
          </cell>
          <cell r="BH87">
            <v>3184.643</v>
          </cell>
          <cell r="BI87">
            <v>3269.7860000000001</v>
          </cell>
          <cell r="BJ87">
            <v>3384.8040000000001</v>
          </cell>
          <cell r="BK87">
            <v>3522.337</v>
          </cell>
          <cell r="BL87">
            <v>3672.7820000000002</v>
          </cell>
          <cell r="BM87">
            <v>3821.498</v>
          </cell>
          <cell r="BN87">
            <v>3957.99</v>
          </cell>
          <cell r="BO87">
            <v>4079.5740000000001</v>
          </cell>
          <cell r="BP87">
            <v>4190.1549999999997</v>
          </cell>
          <cell r="BQ87">
            <v>4293.692</v>
          </cell>
          <cell r="BR87">
            <v>4396.5540000000001</v>
          </cell>
          <cell r="BS87">
            <v>4503.4380000000001</v>
          </cell>
        </row>
        <row r="88">
          <cell r="E88">
            <v>466</v>
          </cell>
          <cell r="F88">
            <v>4708.4250000000002</v>
          </cell>
          <cell r="G88">
            <v>4759.0389999999998</v>
          </cell>
          <cell r="H88">
            <v>4811.1980000000003</v>
          </cell>
          <cell r="I88">
            <v>4864.7539999999999</v>
          </cell>
          <cell r="J88">
            <v>4919.5469999999996</v>
          </cell>
          <cell r="K88">
            <v>4975.4009999999998</v>
          </cell>
          <cell r="L88">
            <v>5032.1239999999998</v>
          </cell>
          <cell r="M88">
            <v>5089.5069999999996</v>
          </cell>
          <cell r="N88">
            <v>5147.3440000000001</v>
          </cell>
          <cell r="O88">
            <v>5205.4480000000003</v>
          </cell>
          <cell r="P88">
            <v>5263.73</v>
          </cell>
          <cell r="Q88">
            <v>5322.2669999999998</v>
          </cell>
          <cell r="R88">
            <v>5381.3689999999997</v>
          </cell>
          <cell r="S88">
            <v>5441.6109999999999</v>
          </cell>
          <cell r="T88">
            <v>5503.7479999999996</v>
          </cell>
          <cell r="U88">
            <v>5568.4849999999997</v>
          </cell>
          <cell r="V88">
            <v>5635.8590000000004</v>
          </cell>
          <cell r="W88">
            <v>5706.1980000000003</v>
          </cell>
          <cell r="X88">
            <v>5780.8339999999998</v>
          </cell>
          <cell r="Y88">
            <v>5861.4110000000001</v>
          </cell>
          <cell r="Z88">
            <v>5949.0429999999997</v>
          </cell>
          <cell r="AA88">
            <v>6044.5320000000002</v>
          </cell>
          <cell r="AB88">
            <v>6147.4589999999998</v>
          </cell>
          <cell r="AC88">
            <v>6256.192</v>
          </cell>
          <cell r="AD88">
            <v>6368.3509999999997</v>
          </cell>
          <cell r="AE88">
            <v>6482.2759999999998</v>
          </cell>
          <cell r="AF88">
            <v>6596.817</v>
          </cell>
          <cell r="AG88">
            <v>6712.5450000000001</v>
          </cell>
          <cell r="AH88">
            <v>6831.53</v>
          </cell>
          <cell r="AI88">
            <v>6956.7790000000005</v>
          </cell>
          <cell r="AJ88">
            <v>7090.125</v>
          </cell>
          <cell r="AK88">
            <v>7233.8770000000004</v>
          </cell>
          <cell r="AL88">
            <v>7386.6689999999999</v>
          </cell>
          <cell r="AM88">
            <v>7542.3770000000004</v>
          </cell>
          <cell r="AN88">
            <v>7692.5370000000003</v>
          </cell>
          <cell r="AO88">
            <v>7831.8909999999996</v>
          </cell>
          <cell r="AP88">
            <v>7957.39</v>
          </cell>
          <cell r="AQ88">
            <v>8073.1779999999999</v>
          </cell>
          <cell r="AR88">
            <v>8189.9840000000004</v>
          </cell>
          <cell r="AS88">
            <v>8322.7260000000006</v>
          </cell>
          <cell r="AT88">
            <v>8482.0750000000007</v>
          </cell>
          <cell r="AU88">
            <v>8672.5810000000001</v>
          </cell>
          <cell r="AV88">
            <v>8891.1409999999996</v>
          </cell>
          <cell r="AW88">
            <v>9131.4490000000005</v>
          </cell>
          <cell r="AX88">
            <v>9383.6080000000002</v>
          </cell>
          <cell r="AY88">
            <v>9640.643</v>
          </cell>
          <cell r="AZ88">
            <v>9901.0450000000001</v>
          </cell>
          <cell r="BA88">
            <v>10168</v>
          </cell>
          <cell r="BB88">
            <v>10444.822</v>
          </cell>
          <cell r="BC88">
            <v>10736.541999999999</v>
          </cell>
          <cell r="BD88">
            <v>11046.925999999999</v>
          </cell>
          <cell r="BE88">
            <v>11376.093999999999</v>
          </cell>
          <cell r="BF88">
            <v>11723.017</v>
          </cell>
          <cell r="BG88">
            <v>12088.867</v>
          </cell>
          <cell r="BH88">
            <v>12474.857</v>
          </cell>
          <cell r="BI88">
            <v>12881.384</v>
          </cell>
          <cell r="BJ88">
            <v>13309.941999999999</v>
          </cell>
          <cell r="BK88">
            <v>13759.226000000001</v>
          </cell>
          <cell r="BL88">
            <v>14223.403</v>
          </cell>
          <cell r="BM88">
            <v>14694.565000000001</v>
          </cell>
          <cell r="BN88">
            <v>15167.286</v>
          </cell>
          <cell r="BO88">
            <v>15639.115</v>
          </cell>
          <cell r="BP88">
            <v>16112.333000000001</v>
          </cell>
          <cell r="BQ88">
            <v>16592.097000000002</v>
          </cell>
          <cell r="BR88">
            <v>17086.022000000001</v>
          </cell>
          <cell r="BS88">
            <v>17599.694</v>
          </cell>
        </row>
        <row r="89">
          <cell r="E89">
            <v>478</v>
          </cell>
          <cell r="F89">
            <v>660.49099999999999</v>
          </cell>
          <cell r="G89">
            <v>675.59400000000005</v>
          </cell>
          <cell r="H89">
            <v>691.80700000000002</v>
          </cell>
          <cell r="I89">
            <v>709.09799999999996</v>
          </cell>
          <cell r="J89">
            <v>727.44</v>
          </cell>
          <cell r="K89">
            <v>746.80399999999997</v>
          </cell>
          <cell r="L89">
            <v>767.16600000000005</v>
          </cell>
          <cell r="M89">
            <v>788.50400000000002</v>
          </cell>
          <cell r="N89">
            <v>810.79600000000005</v>
          </cell>
          <cell r="O89">
            <v>834.024</v>
          </cell>
          <cell r="P89">
            <v>858.17</v>
          </cell>
          <cell r="Q89">
            <v>883.22299999999996</v>
          </cell>
          <cell r="R89">
            <v>909.17200000000003</v>
          </cell>
          <cell r="S89">
            <v>936.01400000000001</v>
          </cell>
          <cell r="T89">
            <v>963.74599999999998</v>
          </cell>
          <cell r="U89">
            <v>992.36800000000005</v>
          </cell>
          <cell r="V89">
            <v>1021.88</v>
          </cell>
          <cell r="W89">
            <v>1052.2850000000001</v>
          </cell>
          <cell r="X89">
            <v>1083.586</v>
          </cell>
          <cell r="Y89">
            <v>1115.79</v>
          </cell>
          <cell r="Z89">
            <v>1148.9079999999999</v>
          </cell>
          <cell r="AA89">
            <v>1182.9449999999999</v>
          </cell>
          <cell r="AB89">
            <v>1217.912</v>
          </cell>
          <cell r="AC89">
            <v>1253.8389999999999</v>
          </cell>
          <cell r="AD89">
            <v>1290.7550000000001</v>
          </cell>
          <cell r="AE89">
            <v>1328.6869999999999</v>
          </cell>
          <cell r="AF89">
            <v>1367.64</v>
          </cell>
          <cell r="AG89">
            <v>1407.6210000000001</v>
          </cell>
          <cell r="AH89">
            <v>1448.664</v>
          </cell>
          <cell r="AI89">
            <v>1490.8109999999999</v>
          </cell>
          <cell r="AJ89">
            <v>1534.085</v>
          </cell>
          <cell r="AK89">
            <v>1578.585</v>
          </cell>
          <cell r="AL89">
            <v>1624.31</v>
          </cell>
          <cell r="AM89">
            <v>1671.08</v>
          </cell>
          <cell r="AN89">
            <v>1718.6410000000001</v>
          </cell>
          <cell r="AO89">
            <v>1766.855</v>
          </cell>
          <cell r="AP89">
            <v>1815.692</v>
          </cell>
          <cell r="AQ89">
            <v>1865.356</v>
          </cell>
          <cell r="AR89">
            <v>1916.24</v>
          </cell>
          <cell r="AS89">
            <v>1968.87</v>
          </cell>
          <cell r="AT89">
            <v>2023.665</v>
          </cell>
          <cell r="AU89">
            <v>2080.7820000000002</v>
          </cell>
          <cell r="AV89">
            <v>2140.25</v>
          </cell>
          <cell r="AW89">
            <v>2202.201</v>
          </cell>
          <cell r="AX89">
            <v>2266.7449999999999</v>
          </cell>
          <cell r="AY89">
            <v>2333.9659999999999</v>
          </cell>
          <cell r="AZ89">
            <v>2403.779</v>
          </cell>
          <cell r="BA89">
            <v>2476.1880000000001</v>
          </cell>
          <cell r="BB89">
            <v>2551.4290000000001</v>
          </cell>
          <cell r="BC89">
            <v>2629.806</v>
          </cell>
          <cell r="BD89">
            <v>2711.4209999999998</v>
          </cell>
          <cell r="BE89">
            <v>2796.502</v>
          </cell>
          <cell r="BF89">
            <v>2884.672</v>
          </cell>
          <cell r="BG89">
            <v>2974.6860000000001</v>
          </cell>
          <cell r="BH89">
            <v>3064.8820000000001</v>
          </cell>
          <cell r="BI89">
            <v>3154.087</v>
          </cell>
          <cell r="BJ89">
            <v>3241.7620000000002</v>
          </cell>
          <cell r="BK89">
            <v>3328.2849999999999</v>
          </cell>
          <cell r="BL89">
            <v>3414.5520000000001</v>
          </cell>
          <cell r="BM89">
            <v>3501.9270000000001</v>
          </cell>
          <cell r="BN89">
            <v>3591.4</v>
          </cell>
          <cell r="BO89">
            <v>3683.221</v>
          </cell>
          <cell r="BP89">
            <v>3777.067</v>
          </cell>
          <cell r="BQ89">
            <v>3872.6840000000002</v>
          </cell>
          <cell r="BR89">
            <v>3969.625</v>
          </cell>
          <cell r="BS89">
            <v>4067.5639999999999</v>
          </cell>
        </row>
        <row r="90">
          <cell r="E90">
            <v>562</v>
          </cell>
          <cell r="F90">
            <v>2559.703</v>
          </cell>
          <cell r="G90">
            <v>2637.5819999999999</v>
          </cell>
          <cell r="H90">
            <v>2717.047</v>
          </cell>
          <cell r="I90">
            <v>2797.4349999999999</v>
          </cell>
          <cell r="J90">
            <v>2878.395</v>
          </cell>
          <cell r="K90">
            <v>2959.8960000000002</v>
          </cell>
          <cell r="L90">
            <v>3042.2310000000002</v>
          </cell>
          <cell r="M90">
            <v>3126.01</v>
          </cell>
          <cell r="N90">
            <v>3212.1010000000001</v>
          </cell>
          <cell r="O90">
            <v>3301.5309999999999</v>
          </cell>
          <cell r="P90">
            <v>3395.212</v>
          </cell>
          <cell r="Q90">
            <v>3493.636</v>
          </cell>
          <cell r="R90">
            <v>3596.6129999999998</v>
          </cell>
          <cell r="S90">
            <v>3703.1590000000001</v>
          </cell>
          <cell r="T90">
            <v>3811.8130000000001</v>
          </cell>
          <cell r="U90">
            <v>3921.5810000000001</v>
          </cell>
          <cell r="V90">
            <v>4032.21</v>
          </cell>
          <cell r="W90">
            <v>4144.2380000000003</v>
          </cell>
          <cell r="X90">
            <v>4258.415</v>
          </cell>
          <cell r="Y90">
            <v>4375.8370000000004</v>
          </cell>
          <cell r="Z90">
            <v>4497.3549999999996</v>
          </cell>
          <cell r="AA90">
            <v>4623.1210000000001</v>
          </cell>
          <cell r="AB90">
            <v>4753.0540000000001</v>
          </cell>
          <cell r="AC90">
            <v>4887.4840000000004</v>
          </cell>
          <cell r="AD90">
            <v>5026.7439999999997</v>
          </cell>
          <cell r="AE90">
            <v>5171.0290000000005</v>
          </cell>
          <cell r="AF90">
            <v>5320.8689999999997</v>
          </cell>
          <cell r="AG90">
            <v>5476.2060000000001</v>
          </cell>
          <cell r="AH90">
            <v>5635.9539999999997</v>
          </cell>
          <cell r="AI90">
            <v>5798.5839999999998</v>
          </cell>
          <cell r="AJ90">
            <v>5963.1589999999997</v>
          </cell>
          <cell r="AK90">
            <v>6129.7619999999997</v>
          </cell>
          <cell r="AL90">
            <v>6299.3429999999998</v>
          </cell>
          <cell r="AM90">
            <v>6472.9709999999995</v>
          </cell>
          <cell r="AN90">
            <v>6652.11</v>
          </cell>
          <cell r="AO90">
            <v>6838.17</v>
          </cell>
          <cell r="AP90">
            <v>7031.6750000000002</v>
          </cell>
          <cell r="AQ90">
            <v>7233.482</v>
          </cell>
          <cell r="AR90">
            <v>7445.7879999999996</v>
          </cell>
          <cell r="AS90">
            <v>7671.2330000000002</v>
          </cell>
          <cell r="AT90">
            <v>7911.884</v>
          </cell>
          <cell r="AU90">
            <v>8168.8339999999998</v>
          </cell>
          <cell r="AV90">
            <v>8442.33</v>
          </cell>
          <cell r="AW90">
            <v>8732.5</v>
          </cell>
          <cell r="AX90">
            <v>9039.0879999999997</v>
          </cell>
          <cell r="AY90">
            <v>9361.9120000000003</v>
          </cell>
          <cell r="AZ90">
            <v>9701.73</v>
          </cell>
          <cell r="BA90">
            <v>10058.959999999999</v>
          </cell>
          <cell r="BB90">
            <v>10432.656999999999</v>
          </cell>
          <cell r="BC90">
            <v>10821.433999999999</v>
          </cell>
          <cell r="BD90">
            <v>11224.522999999999</v>
          </cell>
          <cell r="BE90">
            <v>11642.308000000001</v>
          </cell>
          <cell r="BF90">
            <v>12075.991</v>
          </cell>
          <cell r="BG90">
            <v>12526.725</v>
          </cell>
          <cell r="BH90">
            <v>12996.012000000001</v>
          </cell>
          <cell r="BI90">
            <v>13485.436</v>
          </cell>
          <cell r="BJ90">
            <v>13995.53</v>
          </cell>
          <cell r="BK90">
            <v>14527.630999999999</v>
          </cell>
          <cell r="BL90">
            <v>15085.13</v>
          </cell>
          <cell r="BM90">
            <v>15672.194</v>
          </cell>
          <cell r="BN90">
            <v>16291.99</v>
          </cell>
          <cell r="BO90">
            <v>16946.485000000001</v>
          </cell>
          <cell r="BP90">
            <v>17635.781999999999</v>
          </cell>
          <cell r="BQ90">
            <v>18358.863000000001</v>
          </cell>
          <cell r="BR90">
            <v>19113.727999999999</v>
          </cell>
          <cell r="BS90">
            <v>19899.12</v>
          </cell>
        </row>
        <row r="91">
          <cell r="E91">
            <v>566</v>
          </cell>
          <cell r="F91">
            <v>37859.745000000003</v>
          </cell>
          <cell r="G91">
            <v>38431.322999999997</v>
          </cell>
          <cell r="H91">
            <v>39049.830999999998</v>
          </cell>
          <cell r="I91">
            <v>39707.796000000002</v>
          </cell>
          <cell r="J91">
            <v>40399.771000000001</v>
          </cell>
          <cell r="K91">
            <v>41122.332999999999</v>
          </cell>
          <cell r="L91">
            <v>41874.186000000002</v>
          </cell>
          <cell r="M91">
            <v>42656.057999999997</v>
          </cell>
          <cell r="N91">
            <v>43470.428999999996</v>
          </cell>
          <cell r="O91">
            <v>44321.061000000002</v>
          </cell>
          <cell r="P91">
            <v>45211.614000000001</v>
          </cell>
          <cell r="Q91">
            <v>46144.154000000002</v>
          </cell>
          <cell r="R91">
            <v>47117.858999999997</v>
          </cell>
          <cell r="S91">
            <v>48128.46</v>
          </cell>
          <cell r="T91">
            <v>49169.819000000003</v>
          </cell>
          <cell r="U91">
            <v>50238.569000000003</v>
          </cell>
          <cell r="V91">
            <v>51336.375</v>
          </cell>
          <cell r="W91">
            <v>52468.593000000001</v>
          </cell>
          <cell r="X91">
            <v>53640.546999999999</v>
          </cell>
          <cell r="Y91">
            <v>54859.201000000001</v>
          </cell>
          <cell r="Z91">
            <v>56131.843999999997</v>
          </cell>
          <cell r="AA91">
            <v>57453.733999999997</v>
          </cell>
          <cell r="AB91">
            <v>58829.319000000003</v>
          </cell>
          <cell r="AC91">
            <v>60285.453000000001</v>
          </cell>
          <cell r="AD91">
            <v>61857.023000000001</v>
          </cell>
          <cell r="AE91">
            <v>63565.597999999998</v>
          </cell>
          <cell r="AF91">
            <v>65426.976000000002</v>
          </cell>
          <cell r="AG91">
            <v>67425.434999999998</v>
          </cell>
          <cell r="AH91">
            <v>69512.232999999993</v>
          </cell>
          <cell r="AI91">
            <v>71619.216</v>
          </cell>
          <cell r="AJ91">
            <v>73698.096000000005</v>
          </cell>
          <cell r="AK91">
            <v>75729.572</v>
          </cell>
          <cell r="AL91">
            <v>77729.801999999996</v>
          </cell>
          <cell r="AM91">
            <v>79729.311000000002</v>
          </cell>
          <cell r="AN91">
            <v>81775.214999999997</v>
          </cell>
          <cell r="AO91">
            <v>83901.57</v>
          </cell>
          <cell r="AP91">
            <v>86118.043000000005</v>
          </cell>
          <cell r="AQ91">
            <v>88412.917000000001</v>
          </cell>
          <cell r="AR91">
            <v>90773.612999999998</v>
          </cell>
          <cell r="AS91">
            <v>93179.755000000005</v>
          </cell>
          <cell r="AT91">
            <v>95617.345000000001</v>
          </cell>
          <cell r="AU91">
            <v>98085.436000000002</v>
          </cell>
          <cell r="AV91">
            <v>100592.458</v>
          </cell>
          <cell r="AW91">
            <v>103145.09299999999</v>
          </cell>
          <cell r="AX91">
            <v>105753.088</v>
          </cell>
          <cell r="AY91">
            <v>108424.822</v>
          </cell>
          <cell r="AZ91">
            <v>111164.651</v>
          </cell>
          <cell r="BA91">
            <v>113975.05499999999</v>
          </cell>
          <cell r="BB91">
            <v>116860.69100000001</v>
          </cell>
          <cell r="BC91">
            <v>119826.231</v>
          </cell>
          <cell r="BD91">
            <v>122876.723</v>
          </cell>
          <cell r="BE91">
            <v>126014.935</v>
          </cell>
          <cell r="BF91">
            <v>129246.283</v>
          </cell>
          <cell r="BG91">
            <v>132581.484</v>
          </cell>
          <cell r="BH91">
            <v>136033.321</v>
          </cell>
          <cell r="BI91">
            <v>139611.30300000001</v>
          </cell>
          <cell r="BJ91">
            <v>143318.011</v>
          </cell>
          <cell r="BK91">
            <v>147152.50200000001</v>
          </cell>
          <cell r="BL91">
            <v>151115.68299999999</v>
          </cell>
          <cell r="BM91">
            <v>155207.14499999999</v>
          </cell>
          <cell r="BN91">
            <v>159424.742</v>
          </cell>
          <cell r="BO91">
            <v>163770.66899999999</v>
          </cell>
          <cell r="BP91">
            <v>168240.40299999999</v>
          </cell>
          <cell r="BQ91">
            <v>172816.51699999999</v>
          </cell>
          <cell r="BR91">
            <v>177475.986</v>
          </cell>
          <cell r="BS91">
            <v>182201.962</v>
          </cell>
        </row>
        <row r="92">
          <cell r="E92">
            <v>654</v>
          </cell>
          <cell r="F92">
            <v>4.9720000000000004</v>
          </cell>
          <cell r="G92">
            <v>5.01</v>
          </cell>
          <cell r="H92">
            <v>5.0179999999999998</v>
          </cell>
          <cell r="I92">
            <v>5.0049999999999999</v>
          </cell>
          <cell r="J92">
            <v>4.9800000000000004</v>
          </cell>
          <cell r="K92">
            <v>4.9459999999999997</v>
          </cell>
          <cell r="L92">
            <v>4.9089999999999998</v>
          </cell>
          <cell r="M92">
            <v>4.87</v>
          </cell>
          <cell r="N92">
            <v>4.8310000000000004</v>
          </cell>
          <cell r="O92">
            <v>4.7910000000000004</v>
          </cell>
          <cell r="P92">
            <v>4.75</v>
          </cell>
          <cell r="Q92">
            <v>4.7080000000000002</v>
          </cell>
          <cell r="R92">
            <v>4.67</v>
          </cell>
          <cell r="S92">
            <v>4.6399999999999997</v>
          </cell>
          <cell r="T92">
            <v>4.6230000000000002</v>
          </cell>
          <cell r="U92">
            <v>4.6269999999999998</v>
          </cell>
          <cell r="V92">
            <v>4.6520000000000001</v>
          </cell>
          <cell r="W92">
            <v>4.6959999999999997</v>
          </cell>
          <cell r="X92">
            <v>4.7539999999999996</v>
          </cell>
          <cell r="Y92">
            <v>4.82</v>
          </cell>
          <cell r="Z92">
            <v>4.8849999999999998</v>
          </cell>
          <cell r="AA92">
            <v>4.95</v>
          </cell>
          <cell r="AB92">
            <v>5.0140000000000002</v>
          </cell>
          <cell r="AC92">
            <v>5.0759999999999996</v>
          </cell>
          <cell r="AD92">
            <v>5.1310000000000002</v>
          </cell>
          <cell r="AE92">
            <v>5.1779999999999999</v>
          </cell>
          <cell r="AF92">
            <v>5.2149999999999999</v>
          </cell>
          <cell r="AG92">
            <v>5.242</v>
          </cell>
          <cell r="AH92">
            <v>5.2640000000000002</v>
          </cell>
          <cell r="AI92">
            <v>5.2910000000000004</v>
          </cell>
          <cell r="AJ92">
            <v>5.3289999999999997</v>
          </cell>
          <cell r="AK92">
            <v>5.3789999999999996</v>
          </cell>
          <cell r="AL92">
            <v>5.4379999999999997</v>
          </cell>
          <cell r="AM92">
            <v>5.4989999999999997</v>
          </cell>
          <cell r="AN92">
            <v>5.5510000000000002</v>
          </cell>
          <cell r="AO92">
            <v>5.5860000000000003</v>
          </cell>
          <cell r="AP92">
            <v>5.6029999999999998</v>
          </cell>
          <cell r="AQ92">
            <v>5.6029999999999998</v>
          </cell>
          <cell r="AR92">
            <v>5.5890000000000004</v>
          </cell>
          <cell r="AS92">
            <v>5.5640000000000001</v>
          </cell>
          <cell r="AT92">
            <v>5.5309999999999997</v>
          </cell>
          <cell r="AU92">
            <v>5.4880000000000004</v>
          </cell>
          <cell r="AV92">
            <v>5.4349999999999996</v>
          </cell>
          <cell r="AW92">
            <v>5.3780000000000001</v>
          </cell>
          <cell r="AX92">
            <v>5.3280000000000003</v>
          </cell>
          <cell r="AY92">
            <v>5.2869999999999999</v>
          </cell>
          <cell r="AZ92">
            <v>5.2640000000000002</v>
          </cell>
          <cell r="BA92">
            <v>5.2549999999999999</v>
          </cell>
          <cell r="BB92">
            <v>5.242</v>
          </cell>
          <cell r="BC92">
            <v>5.1989999999999998</v>
          </cell>
          <cell r="BD92">
            <v>5.1130000000000004</v>
          </cell>
          <cell r="BE92">
            <v>4.9720000000000004</v>
          </cell>
          <cell r="BF92">
            <v>4.7880000000000003</v>
          </cell>
          <cell r="BG92">
            <v>4.5869999999999997</v>
          </cell>
          <cell r="BH92">
            <v>4.4080000000000004</v>
          </cell>
          <cell r="BI92">
            <v>4.274</v>
          </cell>
          <cell r="BJ92">
            <v>4.1989999999999998</v>
          </cell>
          <cell r="BK92">
            <v>4.173</v>
          </cell>
          <cell r="BL92">
            <v>4.1769999999999996</v>
          </cell>
          <cell r="BM92">
            <v>4.1840000000000002</v>
          </cell>
          <cell r="BN92">
            <v>4.173</v>
          </cell>
          <cell r="BO92">
            <v>4.1390000000000002</v>
          </cell>
          <cell r="BP92">
            <v>4.09</v>
          </cell>
          <cell r="BQ92">
            <v>4.0339999999999998</v>
          </cell>
          <cell r="BR92">
            <v>3.9870000000000001</v>
          </cell>
          <cell r="BS92">
            <v>3.9609999999999999</v>
          </cell>
        </row>
        <row r="93">
          <cell r="E93">
            <v>686</v>
          </cell>
          <cell r="F93">
            <v>2476.6379999999999</v>
          </cell>
          <cell r="G93">
            <v>2529.6990000000001</v>
          </cell>
          <cell r="H93">
            <v>2586.817</v>
          </cell>
          <cell r="I93">
            <v>2647.9549999999999</v>
          </cell>
          <cell r="J93">
            <v>2713.038</v>
          </cell>
          <cell r="K93">
            <v>2781.9549999999999</v>
          </cell>
          <cell r="L93">
            <v>2854.549</v>
          </cell>
          <cell r="M93">
            <v>2930.627</v>
          </cell>
          <cell r="N93">
            <v>3009.9659999999999</v>
          </cell>
          <cell r="O93">
            <v>3092.3380000000002</v>
          </cell>
          <cell r="P93">
            <v>3177.56</v>
          </cell>
          <cell r="Q93">
            <v>3265.558</v>
          </cell>
          <cell r="R93">
            <v>3356.4209999999998</v>
          </cell>
          <cell r="S93">
            <v>3450.4180000000001</v>
          </cell>
          <cell r="T93">
            <v>3547.9389999999999</v>
          </cell>
          <cell r="U93">
            <v>3649.308</v>
          </cell>
          <cell r="V93">
            <v>3754.268</v>
          </cell>
          <cell r="W93">
            <v>3862.7829999999999</v>
          </cell>
          <cell r="X93">
            <v>3975.614</v>
          </cell>
          <cell r="Y93">
            <v>4093.7629999999999</v>
          </cell>
          <cell r="Z93">
            <v>4217.7539999999999</v>
          </cell>
          <cell r="AA93">
            <v>4348.4989999999998</v>
          </cell>
          <cell r="AB93">
            <v>4485.3419999999996</v>
          </cell>
          <cell r="AC93">
            <v>4625.3770000000004</v>
          </cell>
          <cell r="AD93">
            <v>4764.6229999999996</v>
          </cell>
          <cell r="AE93">
            <v>4900.491</v>
          </cell>
          <cell r="AF93">
            <v>5031.8490000000002</v>
          </cell>
          <cell r="AG93">
            <v>5160.3130000000001</v>
          </cell>
          <cell r="AH93">
            <v>5289.4449999999997</v>
          </cell>
          <cell r="AI93">
            <v>5424.299</v>
          </cell>
          <cell r="AJ93">
            <v>5568.6509999999998</v>
          </cell>
          <cell r="AK93">
            <v>5723.5410000000002</v>
          </cell>
          <cell r="AL93">
            <v>5888.2610000000004</v>
          </cell>
          <cell r="AM93">
            <v>6062.6819999999998</v>
          </cell>
          <cell r="AN93">
            <v>6246.14</v>
          </cell>
          <cell r="AO93">
            <v>6438.0240000000003</v>
          </cell>
          <cell r="AP93">
            <v>6638.1859999999997</v>
          </cell>
          <cell r="AQ93">
            <v>6846.5559999999996</v>
          </cell>
          <cell r="AR93">
            <v>7062.54</v>
          </cell>
          <cell r="AS93">
            <v>7285.3779999999997</v>
          </cell>
          <cell r="AT93">
            <v>7514.201</v>
          </cell>
          <cell r="AU93">
            <v>7749.5590000000002</v>
          </cell>
          <cell r="AV93">
            <v>7990.7359999999999</v>
          </cell>
          <cell r="AW93">
            <v>8234.1470000000008</v>
          </cell>
          <cell r="AX93">
            <v>8475.1360000000004</v>
          </cell>
          <cell r="AY93">
            <v>8710.7459999999992</v>
          </cell>
          <cell r="AZ93">
            <v>8939.4380000000001</v>
          </cell>
          <cell r="BA93">
            <v>9163.1839999999993</v>
          </cell>
          <cell r="BB93">
            <v>9386.9230000000007</v>
          </cell>
          <cell r="BC93">
            <v>9617.6409999999996</v>
          </cell>
          <cell r="BD93">
            <v>9860.5779999999995</v>
          </cell>
          <cell r="BE93">
            <v>10118.078</v>
          </cell>
          <cell r="BF93">
            <v>10389.457</v>
          </cell>
          <cell r="BG93">
            <v>10673.32</v>
          </cell>
          <cell r="BH93">
            <v>10967.016</v>
          </cell>
          <cell r="BI93">
            <v>11268.994000000001</v>
          </cell>
          <cell r="BJ93">
            <v>11578.43</v>
          </cell>
          <cell r="BK93">
            <v>11897.23</v>
          </cell>
          <cell r="BL93">
            <v>12229.703</v>
          </cell>
          <cell r="BM93">
            <v>12581.624</v>
          </cell>
          <cell r="BN93">
            <v>12956.790999999999</v>
          </cell>
          <cell r="BO93">
            <v>13357.003000000001</v>
          </cell>
          <cell r="BP93">
            <v>13780.108</v>
          </cell>
          <cell r="BQ93">
            <v>14221.040999999999</v>
          </cell>
          <cell r="BR93">
            <v>14672.557000000001</v>
          </cell>
          <cell r="BS93">
            <v>15129.272999999999</v>
          </cell>
        </row>
        <row r="94">
          <cell r="E94">
            <v>694</v>
          </cell>
          <cell r="F94">
            <v>1944.001</v>
          </cell>
          <cell r="G94">
            <v>1962.818</v>
          </cell>
          <cell r="H94">
            <v>1983.3209999999999</v>
          </cell>
          <cell r="I94">
            <v>2005.162</v>
          </cell>
          <cell r="J94">
            <v>2028.07</v>
          </cell>
          <cell r="K94">
            <v>2051.8449999999998</v>
          </cell>
          <cell r="L94">
            <v>2076.3620000000001</v>
          </cell>
          <cell r="M94">
            <v>2101.5680000000002</v>
          </cell>
          <cell r="N94">
            <v>2127.4789999999998</v>
          </cell>
          <cell r="O94">
            <v>2154.16</v>
          </cell>
          <cell r="P94">
            <v>2181.701</v>
          </cell>
          <cell r="Q94">
            <v>2210.1689999999999</v>
          </cell>
          <cell r="R94">
            <v>2239.5810000000001</v>
          </cell>
          <cell r="S94">
            <v>2269.89</v>
          </cell>
          <cell r="T94">
            <v>2301.0230000000001</v>
          </cell>
          <cell r="U94">
            <v>2332.9989999999998</v>
          </cell>
          <cell r="V94">
            <v>2365.8009999999999</v>
          </cell>
          <cell r="W94">
            <v>2399.6669999999999</v>
          </cell>
          <cell r="X94">
            <v>2435.1970000000001</v>
          </cell>
          <cell r="Y94">
            <v>2473.165</v>
          </cell>
          <cell r="Z94">
            <v>2514.1509999999998</v>
          </cell>
          <cell r="AA94">
            <v>2558.395</v>
          </cell>
          <cell r="AB94">
            <v>2605.837</v>
          </cell>
          <cell r="AC94">
            <v>2656.38</v>
          </cell>
          <cell r="AD94">
            <v>2709.797</v>
          </cell>
          <cell r="AE94">
            <v>2765.9140000000002</v>
          </cell>
          <cell r="AF94">
            <v>2824.8270000000002</v>
          </cell>
          <cell r="AG94">
            <v>2886.607</v>
          </cell>
          <cell r="AH94">
            <v>2951.0010000000002</v>
          </cell>
          <cell r="AI94">
            <v>3017.67</v>
          </cell>
          <cell r="AJ94">
            <v>3086.4059999999999</v>
          </cell>
          <cell r="AK94">
            <v>3155.3679999999999</v>
          </cell>
          <cell r="AL94">
            <v>3224.346</v>
          </cell>
          <cell r="AM94">
            <v>3296.53</v>
          </cell>
          <cell r="AN94">
            <v>3376.3710000000001</v>
          </cell>
          <cell r="AO94">
            <v>3466.0439999999999</v>
          </cell>
          <cell r="AP94">
            <v>3569.1019999999999</v>
          </cell>
          <cell r="AQ94">
            <v>3681.9450000000002</v>
          </cell>
          <cell r="AR94">
            <v>3791.078</v>
          </cell>
          <cell r="AS94">
            <v>3878.2109999999998</v>
          </cell>
          <cell r="AT94">
            <v>3931.2080000000001</v>
          </cell>
          <cell r="AU94">
            <v>3945.8989999999999</v>
          </cell>
          <cell r="AV94">
            <v>3929.1819999999998</v>
          </cell>
          <cell r="AW94">
            <v>3893.8910000000001</v>
          </cell>
          <cell r="AX94">
            <v>3858.5590000000002</v>
          </cell>
          <cell r="AY94">
            <v>3837.8069999999998</v>
          </cell>
          <cell r="AZ94">
            <v>3833.0529999999999</v>
          </cell>
          <cell r="BA94">
            <v>3843.4720000000002</v>
          </cell>
          <cell r="BB94">
            <v>3878.4749999999999</v>
          </cell>
          <cell r="BC94">
            <v>3948.8</v>
          </cell>
          <cell r="BD94">
            <v>4060.7089999999998</v>
          </cell>
          <cell r="BE94">
            <v>4220.1980000000003</v>
          </cell>
          <cell r="BF94">
            <v>4422.1540000000005</v>
          </cell>
          <cell r="BG94">
            <v>4647.701</v>
          </cell>
          <cell r="BH94">
            <v>4870.4669999999996</v>
          </cell>
          <cell r="BI94">
            <v>5071.2709999999997</v>
          </cell>
          <cell r="BJ94">
            <v>5243.2139999999999</v>
          </cell>
          <cell r="BK94">
            <v>5391.1080000000002</v>
          </cell>
          <cell r="BL94">
            <v>5521.8379999999997</v>
          </cell>
          <cell r="BM94">
            <v>5647.1940000000004</v>
          </cell>
          <cell r="BN94">
            <v>5775.902</v>
          </cell>
          <cell r="BO94">
            <v>5908.9080000000004</v>
          </cell>
          <cell r="BP94">
            <v>6043.1570000000002</v>
          </cell>
          <cell r="BQ94">
            <v>6178.8590000000004</v>
          </cell>
          <cell r="BR94">
            <v>6315.6270000000004</v>
          </cell>
          <cell r="BS94">
            <v>6453.1840000000002</v>
          </cell>
        </row>
        <row r="95">
          <cell r="E95">
            <v>768</v>
          </cell>
          <cell r="F95">
            <v>1395.4580000000001</v>
          </cell>
          <cell r="G95">
            <v>1425.482</v>
          </cell>
          <cell r="H95">
            <v>1441.9079999999999</v>
          </cell>
          <cell r="I95">
            <v>1452.0909999999999</v>
          </cell>
          <cell r="J95">
            <v>1461.521</v>
          </cell>
          <cell r="K95">
            <v>1473.8389999999999</v>
          </cell>
          <cell r="L95">
            <v>1490.731</v>
          </cell>
          <cell r="M95">
            <v>1512.0250000000001</v>
          </cell>
          <cell r="N95">
            <v>1535.9690000000001</v>
          </cell>
          <cell r="O95">
            <v>1559.6790000000001</v>
          </cell>
          <cell r="P95">
            <v>1580.5129999999999</v>
          </cell>
          <cell r="Q95">
            <v>1597.528</v>
          </cell>
          <cell r="R95">
            <v>1612.758</v>
          </cell>
          <cell r="S95">
            <v>1631.7629999999999</v>
          </cell>
          <cell r="T95">
            <v>1662.0719999999999</v>
          </cell>
          <cell r="U95">
            <v>1708.6320000000001</v>
          </cell>
          <cell r="V95">
            <v>1774.029</v>
          </cell>
          <cell r="W95">
            <v>1855.4449999999999</v>
          </cell>
          <cell r="X95">
            <v>1945.7809999999999</v>
          </cell>
          <cell r="Y95">
            <v>2034.9090000000001</v>
          </cell>
          <cell r="Z95">
            <v>2115.5210000000002</v>
          </cell>
          <cell r="AA95">
            <v>2185.6610000000001</v>
          </cell>
          <cell r="AB95">
            <v>2247.5749999999998</v>
          </cell>
          <cell r="AC95">
            <v>2303.3449999999998</v>
          </cell>
          <cell r="AD95">
            <v>2356.623</v>
          </cell>
          <cell r="AE95">
            <v>2410.4459999999999</v>
          </cell>
          <cell r="AF95">
            <v>2464.4569999999999</v>
          </cell>
          <cell r="AG95">
            <v>2518.5659999999998</v>
          </cell>
          <cell r="AH95">
            <v>2576.4679999999998</v>
          </cell>
          <cell r="AI95">
            <v>2642.8449999999998</v>
          </cell>
          <cell r="AJ95">
            <v>2720.8380000000002</v>
          </cell>
          <cell r="AK95">
            <v>2812.0709999999999</v>
          </cell>
          <cell r="AL95">
            <v>2915.1480000000001</v>
          </cell>
          <cell r="AM95">
            <v>3026.3780000000002</v>
          </cell>
          <cell r="AN95">
            <v>3140.355</v>
          </cell>
          <cell r="AO95">
            <v>3252.9949999999999</v>
          </cell>
          <cell r="AP95">
            <v>3363.4479999999999</v>
          </cell>
          <cell r="AQ95">
            <v>3472.4589999999998</v>
          </cell>
          <cell r="AR95">
            <v>3579.489</v>
          </cell>
          <cell r="AS95">
            <v>3684.3090000000002</v>
          </cell>
          <cell r="AT95">
            <v>3786.942</v>
          </cell>
          <cell r="AU95">
            <v>3886.8580000000002</v>
          </cell>
          <cell r="AV95">
            <v>3984.3560000000002</v>
          </cell>
          <cell r="AW95">
            <v>4081.3980000000001</v>
          </cell>
          <cell r="AX95">
            <v>4180.6890000000003</v>
          </cell>
          <cell r="AY95">
            <v>4284.2860000000001</v>
          </cell>
          <cell r="AZ95">
            <v>4392.9409999999998</v>
          </cell>
          <cell r="BA95">
            <v>4506.4650000000001</v>
          </cell>
          <cell r="BB95">
            <v>4624.826</v>
          </cell>
          <cell r="BC95">
            <v>4747.665</v>
          </cell>
          <cell r="BD95">
            <v>4874.7349999999997</v>
          </cell>
          <cell r="BE95">
            <v>5006.223</v>
          </cell>
          <cell r="BF95">
            <v>5142.4189999999999</v>
          </cell>
          <cell r="BG95">
            <v>5283.2460000000001</v>
          </cell>
          <cell r="BH95">
            <v>5428.5519999999997</v>
          </cell>
          <cell r="BI95">
            <v>5578.2190000000001</v>
          </cell>
          <cell r="BJ95">
            <v>5732.1750000000002</v>
          </cell>
          <cell r="BK95">
            <v>5890.4139999999998</v>
          </cell>
          <cell r="BL95">
            <v>6052.9369999999999</v>
          </cell>
          <cell r="BM95">
            <v>6219.7610000000004</v>
          </cell>
          <cell r="BN95">
            <v>6390.8509999999997</v>
          </cell>
          <cell r="BO95">
            <v>6566.1790000000001</v>
          </cell>
          <cell r="BP95">
            <v>6745.5810000000001</v>
          </cell>
          <cell r="BQ95">
            <v>6928.7190000000001</v>
          </cell>
          <cell r="BR95">
            <v>7115.1629999999996</v>
          </cell>
          <cell r="BS95">
            <v>7304.5780000000004</v>
          </cell>
        </row>
        <row r="96">
          <cell r="E96">
            <v>935</v>
          </cell>
          <cell r="F96">
            <v>1394017.757</v>
          </cell>
          <cell r="G96">
            <v>1423856.3540000001</v>
          </cell>
          <cell r="H96">
            <v>1451914.5630000001</v>
          </cell>
          <cell r="I96">
            <v>1479107.4310000001</v>
          </cell>
          <cell r="J96">
            <v>1506179.824</v>
          </cell>
          <cell r="K96">
            <v>1533706.449</v>
          </cell>
          <cell r="L96">
            <v>1562084.99</v>
          </cell>
          <cell r="M96">
            <v>1591542.95</v>
          </cell>
          <cell r="N96">
            <v>1622158.209</v>
          </cell>
          <cell r="O96">
            <v>1653893.2150000001</v>
          </cell>
          <cell r="P96">
            <v>1686697.6170000001</v>
          </cell>
          <cell r="Q96">
            <v>1720617.76</v>
          </cell>
          <cell r="R96">
            <v>1755892.4779999999</v>
          </cell>
          <cell r="S96">
            <v>1792994.1629999999</v>
          </cell>
          <cell r="T96">
            <v>1832512.416</v>
          </cell>
          <cell r="U96">
            <v>1874811.932</v>
          </cell>
          <cell r="V96">
            <v>1920059.8089999999</v>
          </cell>
          <cell r="W96">
            <v>1967979.3060000001</v>
          </cell>
          <cell r="X96">
            <v>2017922.898</v>
          </cell>
          <cell r="Y96">
            <v>2068979.3840000001</v>
          </cell>
          <cell r="Z96">
            <v>2120430.0150000001</v>
          </cell>
          <cell r="AA96">
            <v>2172129.3790000002</v>
          </cell>
          <cell r="AB96">
            <v>2224091.7519999999</v>
          </cell>
          <cell r="AC96">
            <v>2275960.8820000002</v>
          </cell>
          <cell r="AD96">
            <v>2327361.8080000002</v>
          </cell>
          <cell r="AE96">
            <v>2378065.7760000001</v>
          </cell>
          <cell r="AF96">
            <v>2427877.3199999998</v>
          </cell>
          <cell r="AG96">
            <v>2476930.253</v>
          </cell>
          <cell r="AH96">
            <v>2525755.8110000002</v>
          </cell>
          <cell r="AI96">
            <v>2575112.912</v>
          </cell>
          <cell r="AJ96">
            <v>2625583.6170000001</v>
          </cell>
          <cell r="AK96">
            <v>2677174.7689999999</v>
          </cell>
          <cell r="AL96">
            <v>2729792.568</v>
          </cell>
          <cell r="AM96">
            <v>2783775.665</v>
          </cell>
          <cell r="AN96">
            <v>2839511.2560000001</v>
          </cell>
          <cell r="AO96">
            <v>2897176.6639999999</v>
          </cell>
          <cell r="AP96">
            <v>2956960.1329999999</v>
          </cell>
          <cell r="AQ96">
            <v>3018518.9180000001</v>
          </cell>
          <cell r="AR96">
            <v>3080826.852</v>
          </cell>
          <cell r="AS96">
            <v>3142492.5430000001</v>
          </cell>
          <cell r="AT96">
            <v>3202474.6919999998</v>
          </cell>
          <cell r="AU96">
            <v>3260422.0320000001</v>
          </cell>
          <cell r="AV96">
            <v>3316482.2429999998</v>
          </cell>
          <cell r="AW96">
            <v>3370737.4670000002</v>
          </cell>
          <cell r="AX96">
            <v>3423450.923</v>
          </cell>
          <cell r="AY96">
            <v>3474848.6770000001</v>
          </cell>
          <cell r="AZ96">
            <v>3524866.415</v>
          </cell>
          <cell r="BA96">
            <v>3573473.6030000001</v>
          </cell>
          <cell r="BB96">
            <v>3621000.7760000001</v>
          </cell>
          <cell r="BC96">
            <v>3667887.0819999999</v>
          </cell>
          <cell r="BD96">
            <v>3714469.8319999999</v>
          </cell>
          <cell r="BE96">
            <v>3760897.85</v>
          </cell>
          <cell r="BF96">
            <v>3807164.023</v>
          </cell>
          <cell r="BG96">
            <v>3853257.5290000001</v>
          </cell>
          <cell r="BH96">
            <v>3899107.0950000002</v>
          </cell>
          <cell r="BI96">
            <v>3944669.784</v>
          </cell>
          <cell r="BJ96">
            <v>3989937.4950000001</v>
          </cell>
          <cell r="BK96">
            <v>4034976.7429999998</v>
          </cell>
          <cell r="BL96">
            <v>4079895.591</v>
          </cell>
          <cell r="BM96">
            <v>4124831.9539999999</v>
          </cell>
          <cell r="BN96">
            <v>4169860.3870000001</v>
          </cell>
          <cell r="BO96">
            <v>4215002.03</v>
          </cell>
          <cell r="BP96">
            <v>4260153</v>
          </cell>
          <cell r="BQ96">
            <v>4305101.5889999997</v>
          </cell>
          <cell r="BR96">
            <v>4349560.5209999997</v>
          </cell>
          <cell r="BS96">
            <v>4393296.0140000004</v>
          </cell>
        </row>
        <row r="97">
          <cell r="E97">
            <v>906</v>
          </cell>
          <cell r="F97">
            <v>666585.79099999997</v>
          </cell>
          <cell r="G97">
            <v>683000.62199999997</v>
          </cell>
          <cell r="H97">
            <v>696744.60100000002</v>
          </cell>
          <cell r="I97">
            <v>708770.91</v>
          </cell>
          <cell r="J97">
            <v>719855.875</v>
          </cell>
          <cell r="K97">
            <v>730598.95900000003</v>
          </cell>
          <cell r="L97">
            <v>741415.59699999995</v>
          </cell>
          <cell r="M97">
            <v>752544.35600000003</v>
          </cell>
          <cell r="N97">
            <v>764068.45200000005</v>
          </cell>
          <cell r="O97">
            <v>775951.53200000001</v>
          </cell>
          <cell r="P97">
            <v>788145.17200000002</v>
          </cell>
          <cell r="Q97">
            <v>800703.48600000003</v>
          </cell>
          <cell r="R97">
            <v>813883.43200000003</v>
          </cell>
          <cell r="S97">
            <v>828187.79</v>
          </cell>
          <cell r="T97">
            <v>844243.38899999997</v>
          </cell>
          <cell r="U97">
            <v>862442.86800000002</v>
          </cell>
          <cell r="V97">
            <v>882965.24100000004</v>
          </cell>
          <cell r="W97">
            <v>905532.40099999995</v>
          </cell>
          <cell r="X97">
            <v>929493.951</v>
          </cell>
          <cell r="Y97">
            <v>953929.83200000005</v>
          </cell>
          <cell r="Z97">
            <v>978112.90700000001</v>
          </cell>
          <cell r="AA97">
            <v>1001886.545</v>
          </cell>
          <cell r="AB97">
            <v>1025260.639</v>
          </cell>
          <cell r="AC97">
            <v>1047882.997</v>
          </cell>
          <cell r="AD97">
            <v>1069385.7379999999</v>
          </cell>
          <cell r="AE97">
            <v>1089536.264</v>
          </cell>
          <cell r="AF97">
            <v>1108175.44</v>
          </cell>
          <cell r="AG97">
            <v>1125414.709</v>
          </cell>
          <cell r="AH97">
            <v>1141655.459</v>
          </cell>
          <cell r="AI97">
            <v>1157482.7790000001</v>
          </cell>
          <cell r="AJ97">
            <v>1173372.0759999999</v>
          </cell>
          <cell r="AK97">
            <v>1189309.9480000001</v>
          </cell>
          <cell r="AL97">
            <v>1205298.6880000001</v>
          </cell>
          <cell r="AM97">
            <v>1221836.392</v>
          </cell>
          <cell r="AN97">
            <v>1239531.7220000001</v>
          </cell>
          <cell r="AO97">
            <v>1258749.5079999999</v>
          </cell>
          <cell r="AP97">
            <v>1279730.4609999999</v>
          </cell>
          <cell r="AQ97">
            <v>1302173.598</v>
          </cell>
          <cell r="AR97">
            <v>1325217.0889999999</v>
          </cell>
          <cell r="AS97">
            <v>1347657.5830000001</v>
          </cell>
          <cell r="AT97">
            <v>1368591.9339999999</v>
          </cell>
          <cell r="AU97">
            <v>1387765.659</v>
          </cell>
          <cell r="AV97">
            <v>1405324.2009999999</v>
          </cell>
          <cell r="AW97">
            <v>1421261.412</v>
          </cell>
          <cell r="AX97">
            <v>1435692.3330000001</v>
          </cell>
          <cell r="AY97">
            <v>1448737.966</v>
          </cell>
          <cell r="AZ97">
            <v>1460322.7290000001</v>
          </cell>
          <cell r="BA97">
            <v>1470467.9709999999</v>
          </cell>
          <cell r="BB97">
            <v>1479536.17</v>
          </cell>
          <cell r="BC97">
            <v>1488016.047</v>
          </cell>
          <cell r="BD97">
            <v>1496284.0260000001</v>
          </cell>
          <cell r="BE97">
            <v>1504487.5989999999</v>
          </cell>
          <cell r="BF97">
            <v>1512614.8640000001</v>
          </cell>
          <cell r="BG97">
            <v>1520686.1740000001</v>
          </cell>
          <cell r="BH97">
            <v>1528668.0109999999</v>
          </cell>
          <cell r="BI97">
            <v>1536539.6910000001</v>
          </cell>
          <cell r="BJ97">
            <v>1544332.61</v>
          </cell>
          <cell r="BK97">
            <v>1552099.0079999999</v>
          </cell>
          <cell r="BL97">
            <v>1559851.4839999999</v>
          </cell>
          <cell r="BM97">
            <v>1567594.97</v>
          </cell>
          <cell r="BN97">
            <v>1575320.344</v>
          </cell>
          <cell r="BO97">
            <v>1583024.183</v>
          </cell>
          <cell r="BP97">
            <v>1590669.983</v>
          </cell>
          <cell r="BQ97">
            <v>1598169.548</v>
          </cell>
          <cell r="BR97">
            <v>1605407.814</v>
          </cell>
          <cell r="BS97">
            <v>1612286.9410000001</v>
          </cell>
        </row>
        <row r="98">
          <cell r="E98">
            <v>156</v>
          </cell>
          <cell r="F98">
            <v>544112.92299999995</v>
          </cell>
          <cell r="G98">
            <v>558820.36199999996</v>
          </cell>
          <cell r="H98">
            <v>570764.96499999997</v>
          </cell>
          <cell r="I98">
            <v>580886.55900000001</v>
          </cell>
          <cell r="J98">
            <v>589955.81200000003</v>
          </cell>
          <cell r="K98">
            <v>598574.24100000004</v>
          </cell>
          <cell r="L98">
            <v>607167.52399999998</v>
          </cell>
          <cell r="M98">
            <v>615992.18200000003</v>
          </cell>
          <cell r="N98">
            <v>625155.62600000005</v>
          </cell>
          <cell r="O98">
            <v>634649.55700000003</v>
          </cell>
          <cell r="P98">
            <v>644450.17299999995</v>
          </cell>
          <cell r="Q98">
            <v>654625.06900000002</v>
          </cell>
          <cell r="R98">
            <v>665426.76</v>
          </cell>
          <cell r="S98">
            <v>677332.76500000001</v>
          </cell>
          <cell r="T98">
            <v>690932.04299999995</v>
          </cell>
          <cell r="U98">
            <v>706590.94700000004</v>
          </cell>
          <cell r="V98">
            <v>724490.03300000005</v>
          </cell>
          <cell r="W98">
            <v>744365.63500000001</v>
          </cell>
          <cell r="X98">
            <v>765570.66799999995</v>
          </cell>
          <cell r="Y98">
            <v>787191.24300000002</v>
          </cell>
          <cell r="Z98">
            <v>808510.71299999999</v>
          </cell>
          <cell r="AA98">
            <v>829367.78399999999</v>
          </cell>
          <cell r="AB98">
            <v>849787.99100000004</v>
          </cell>
          <cell r="AC98">
            <v>869474.82299999997</v>
          </cell>
          <cell r="AD98">
            <v>888132.76100000006</v>
          </cell>
          <cell r="AE98">
            <v>905580.44499999995</v>
          </cell>
          <cell r="AF98">
            <v>921688.19900000002</v>
          </cell>
          <cell r="AG98">
            <v>936554.51399999997</v>
          </cell>
          <cell r="AH98">
            <v>950537.31700000004</v>
          </cell>
          <cell r="AI98">
            <v>964155.17599999998</v>
          </cell>
          <cell r="AJ98">
            <v>977837.43299999996</v>
          </cell>
          <cell r="AK98">
            <v>991553.82900000003</v>
          </cell>
          <cell r="AL98">
            <v>1005328.574</v>
          </cell>
          <cell r="AM98">
            <v>1019698.475</v>
          </cell>
          <cell r="AN98">
            <v>1035328.572</v>
          </cell>
          <cell r="AO98">
            <v>1052622.4099999999</v>
          </cell>
          <cell r="AP98">
            <v>1071834.9750000001</v>
          </cell>
          <cell r="AQ98">
            <v>1092646.7390000001</v>
          </cell>
          <cell r="AR98">
            <v>1114162.0249999999</v>
          </cell>
          <cell r="AS98">
            <v>1135128.0090000001</v>
          </cell>
          <cell r="AT98">
            <v>1154605.773</v>
          </cell>
          <cell r="AU98">
            <v>1172327.831</v>
          </cell>
          <cell r="AV98">
            <v>1188450.2309999999</v>
          </cell>
          <cell r="AW98">
            <v>1202982.9550000001</v>
          </cell>
          <cell r="AX98">
            <v>1216067.023</v>
          </cell>
          <cell r="AY98">
            <v>1227841.281</v>
          </cell>
          <cell r="AZ98">
            <v>1238234.851</v>
          </cell>
          <cell r="BA98">
            <v>1247259.1429999999</v>
          </cell>
          <cell r="BB98">
            <v>1255262.5660000001</v>
          </cell>
          <cell r="BC98">
            <v>1262713.6510000001</v>
          </cell>
          <cell r="BD98">
            <v>1269974.5719999999</v>
          </cell>
          <cell r="BE98">
            <v>1277188.787</v>
          </cell>
          <cell r="BF98">
            <v>1284349.9380000001</v>
          </cell>
          <cell r="BG98">
            <v>1291485.4879999999</v>
          </cell>
          <cell r="BH98">
            <v>1298573.031</v>
          </cell>
          <cell r="BI98">
            <v>1305600.6299999999</v>
          </cell>
          <cell r="BJ98">
            <v>1312600.8770000001</v>
          </cell>
          <cell r="BK98">
            <v>1319625.1969999999</v>
          </cell>
          <cell r="BL98">
            <v>1326690.6359999999</v>
          </cell>
          <cell r="BM98">
            <v>1333807.0630000001</v>
          </cell>
          <cell r="BN98">
            <v>1340968.737</v>
          </cell>
          <cell r="BO98">
            <v>1348174.4779999999</v>
          </cell>
          <cell r="BP98">
            <v>1355386.952</v>
          </cell>
          <cell r="BQ98">
            <v>1362514.26</v>
          </cell>
          <cell r="BR98">
            <v>1369435.67</v>
          </cell>
          <cell r="BS98">
            <v>1376048.943</v>
          </cell>
        </row>
        <row r="99">
          <cell r="E99">
            <v>344</v>
          </cell>
          <cell r="F99">
            <v>1973.998</v>
          </cell>
          <cell r="G99">
            <v>2036.15</v>
          </cell>
          <cell r="H99">
            <v>2133.6030000000001</v>
          </cell>
          <cell r="I99">
            <v>2249.3339999999998</v>
          </cell>
          <cell r="J99">
            <v>2370.828</v>
          </cell>
          <cell r="K99">
            <v>2490.069</v>
          </cell>
          <cell r="L99">
            <v>2603.777</v>
          </cell>
          <cell r="M99">
            <v>2713.1759999999999</v>
          </cell>
          <cell r="N99">
            <v>2823.3020000000001</v>
          </cell>
          <cell r="O99">
            <v>2941.857</v>
          </cell>
          <cell r="P99">
            <v>3075.752</v>
          </cell>
          <cell r="Q99">
            <v>3227.4259999999999</v>
          </cell>
          <cell r="R99">
            <v>3391.625</v>
          </cell>
          <cell r="S99">
            <v>3554.0250000000001</v>
          </cell>
          <cell r="T99">
            <v>3695.136</v>
          </cell>
          <cell r="U99">
            <v>3801.8139999999999</v>
          </cell>
          <cell r="V99">
            <v>3868.4969999999998</v>
          </cell>
          <cell r="W99">
            <v>3901.6529999999998</v>
          </cell>
          <cell r="X99">
            <v>3915.0949999999998</v>
          </cell>
          <cell r="Y99">
            <v>3928.9279999999999</v>
          </cell>
          <cell r="Z99">
            <v>3958.1970000000001</v>
          </cell>
          <cell r="AA99">
            <v>4005.761</v>
          </cell>
          <cell r="AB99">
            <v>4068.4059999999999</v>
          </cell>
          <cell r="AC99">
            <v>4147.5959999999995</v>
          </cell>
          <cell r="AD99">
            <v>4243.5119999999997</v>
          </cell>
          <cell r="AE99">
            <v>4355.3010000000004</v>
          </cell>
          <cell r="AF99">
            <v>4485.8130000000001</v>
          </cell>
          <cell r="AG99">
            <v>4633.3289999999997</v>
          </cell>
          <cell r="AH99">
            <v>4786.58</v>
          </cell>
          <cell r="AI99">
            <v>4930.2979999999998</v>
          </cell>
          <cell r="AJ99">
            <v>5053.6840000000002</v>
          </cell>
          <cell r="AK99">
            <v>5152.0569999999998</v>
          </cell>
          <cell r="AL99">
            <v>5228.8130000000001</v>
          </cell>
          <cell r="AM99">
            <v>5291.21</v>
          </cell>
          <cell r="AN99">
            <v>5350.4669999999996</v>
          </cell>
          <cell r="AO99">
            <v>5414.79</v>
          </cell>
          <cell r="AP99">
            <v>5486.9650000000001</v>
          </cell>
          <cell r="AQ99">
            <v>5564.5959999999995</v>
          </cell>
          <cell r="AR99">
            <v>5644.652</v>
          </cell>
          <cell r="AS99">
            <v>5722.1610000000001</v>
          </cell>
          <cell r="AT99">
            <v>5794.0339999999997</v>
          </cell>
          <cell r="AU99">
            <v>5857.335</v>
          </cell>
          <cell r="AV99">
            <v>5914.576</v>
          </cell>
          <cell r="AW99">
            <v>5974.3789999999999</v>
          </cell>
          <cell r="AX99">
            <v>6048.585</v>
          </cell>
          <cell r="AY99">
            <v>6144.4979999999996</v>
          </cell>
          <cell r="AZ99">
            <v>6267.2950000000001</v>
          </cell>
          <cell r="BA99">
            <v>6411.2730000000001</v>
          </cell>
          <cell r="BB99">
            <v>6559.6559999999999</v>
          </cell>
          <cell r="BC99">
            <v>6689.1350000000002</v>
          </cell>
          <cell r="BD99">
            <v>6783.5020000000004</v>
          </cell>
          <cell r="BE99">
            <v>6836.5379999999996</v>
          </cell>
          <cell r="BF99">
            <v>6854.7550000000001</v>
          </cell>
          <cell r="BG99">
            <v>6850.3609999999999</v>
          </cell>
          <cell r="BH99">
            <v>6841.7049999999999</v>
          </cell>
          <cell r="BI99">
            <v>6842.4650000000001</v>
          </cell>
          <cell r="BJ99">
            <v>6855.8180000000002</v>
          </cell>
          <cell r="BK99">
            <v>6878.5659999999998</v>
          </cell>
          <cell r="BL99">
            <v>6910.384</v>
          </cell>
          <cell r="BM99">
            <v>6949.2749999999996</v>
          </cell>
          <cell r="BN99">
            <v>6993.57</v>
          </cell>
          <cell r="BO99">
            <v>7044.2110000000002</v>
          </cell>
          <cell r="BP99">
            <v>7101.8580000000002</v>
          </cell>
          <cell r="BQ99">
            <v>7163.93</v>
          </cell>
          <cell r="BR99">
            <v>7226.8689999999997</v>
          </cell>
          <cell r="BS99">
            <v>7287.9830000000002</v>
          </cell>
        </row>
        <row r="100">
          <cell r="E100">
            <v>446</v>
          </cell>
          <cell r="F100">
            <v>196.482</v>
          </cell>
          <cell r="G100">
            <v>195.95</v>
          </cell>
          <cell r="H100">
            <v>193.74299999999999</v>
          </cell>
          <cell r="I100">
            <v>190.28800000000001</v>
          </cell>
          <cell r="J100">
            <v>186.03200000000001</v>
          </cell>
          <cell r="K100">
            <v>181.45</v>
          </cell>
          <cell r="L100">
            <v>177.041</v>
          </cell>
          <cell r="M100">
            <v>173.32900000000001</v>
          </cell>
          <cell r="N100">
            <v>170.84399999999999</v>
          </cell>
          <cell r="O100">
            <v>170.08799999999999</v>
          </cell>
          <cell r="P100">
            <v>171.45599999999999</v>
          </cell>
          <cell r="Q100">
            <v>175.13499999999999</v>
          </cell>
          <cell r="R100">
            <v>181.02500000000001</v>
          </cell>
          <cell r="S100">
            <v>188.703</v>
          </cell>
          <cell r="T100">
            <v>197.523</v>
          </cell>
          <cell r="U100">
            <v>206.91</v>
          </cell>
          <cell r="V100">
            <v>216.87299999999999</v>
          </cell>
          <cell r="W100">
            <v>227.25800000000001</v>
          </cell>
          <cell r="X100">
            <v>237.12899999999999</v>
          </cell>
          <cell r="Y100">
            <v>245.31</v>
          </cell>
          <cell r="Z100">
            <v>250.99700000000001</v>
          </cell>
          <cell r="AA100">
            <v>253.881</v>
          </cell>
          <cell r="AB100">
            <v>254.28200000000001</v>
          </cell>
          <cell r="AC100">
            <v>252.845</v>
          </cell>
          <cell r="AD100">
            <v>250.55</v>
          </cell>
          <cell r="AE100">
            <v>248.21299999999999</v>
          </cell>
          <cell r="AF100">
            <v>245.91499999999999</v>
          </cell>
          <cell r="AG100">
            <v>243.72900000000001</v>
          </cell>
          <cell r="AH100">
            <v>242.458</v>
          </cell>
          <cell r="AI100">
            <v>243.07300000000001</v>
          </cell>
          <cell r="AJ100">
            <v>246.23599999999999</v>
          </cell>
          <cell r="AK100">
            <v>252.25800000000001</v>
          </cell>
          <cell r="AL100">
            <v>260.92099999999999</v>
          </cell>
          <cell r="AM100">
            <v>271.67399999999998</v>
          </cell>
          <cell r="AN100">
            <v>283.67200000000003</v>
          </cell>
          <cell r="AO100">
            <v>296.22199999999998</v>
          </cell>
          <cell r="AP100">
            <v>309.226</v>
          </cell>
          <cell r="AQ100">
            <v>322.65499999999997</v>
          </cell>
          <cell r="AR100">
            <v>335.952</v>
          </cell>
          <cell r="AS100">
            <v>348.46699999999998</v>
          </cell>
          <cell r="AT100">
            <v>359.73500000000001</v>
          </cell>
          <cell r="AU100">
            <v>369.48399999999998</v>
          </cell>
          <cell r="AV100">
            <v>377.79899999999998</v>
          </cell>
          <cell r="AW100">
            <v>385.041</v>
          </cell>
          <cell r="AX100">
            <v>391.78300000000002</v>
          </cell>
          <cell r="AY100">
            <v>398.459</v>
          </cell>
          <cell r="AZ100">
            <v>405.23099999999999</v>
          </cell>
          <cell r="BA100">
            <v>412.03100000000001</v>
          </cell>
          <cell r="BB100">
            <v>418.81</v>
          </cell>
          <cell r="BC100">
            <v>425.44799999999998</v>
          </cell>
          <cell r="BD100">
            <v>431.90699999999998</v>
          </cell>
          <cell r="BE100">
            <v>438.08800000000002</v>
          </cell>
          <cell r="BF100">
            <v>444.178</v>
          </cell>
          <cell r="BG100">
            <v>450.75400000000002</v>
          </cell>
          <cell r="BH100">
            <v>458.57900000000001</v>
          </cell>
          <cell r="BI100">
            <v>468.149</v>
          </cell>
          <cell r="BJ100">
            <v>479.72800000000001</v>
          </cell>
          <cell r="BK100">
            <v>493.02199999999999</v>
          </cell>
          <cell r="BL100">
            <v>507.274</v>
          </cell>
          <cell r="BM100">
            <v>521.40499999999997</v>
          </cell>
          <cell r="BN100">
            <v>534.62599999999998</v>
          </cell>
          <cell r="BO100">
            <v>546.68200000000002</v>
          </cell>
          <cell r="BP100">
            <v>557.76300000000003</v>
          </cell>
          <cell r="BQ100">
            <v>568.05600000000004</v>
          </cell>
          <cell r="BR100">
            <v>577.91399999999999</v>
          </cell>
          <cell r="BS100">
            <v>587.60599999999999</v>
          </cell>
        </row>
        <row r="101">
          <cell r="E101">
            <v>408</v>
          </cell>
          <cell r="F101">
            <v>10549.468999999999</v>
          </cell>
          <cell r="G101">
            <v>10248.495999999999</v>
          </cell>
          <cell r="H101">
            <v>10049.026</v>
          </cell>
          <cell r="I101">
            <v>9957.2440000000006</v>
          </cell>
          <cell r="J101">
            <v>9972.4369999999999</v>
          </cell>
          <cell r="K101">
            <v>10086.993</v>
          </cell>
          <cell r="L101">
            <v>10285.936</v>
          </cell>
          <cell r="M101">
            <v>10547.388999999999</v>
          </cell>
          <cell r="N101">
            <v>10843.978999999999</v>
          </cell>
          <cell r="O101">
            <v>11145.152</v>
          </cell>
          <cell r="P101">
            <v>11424.179</v>
          </cell>
          <cell r="Q101">
            <v>11665.593000000001</v>
          </cell>
          <cell r="R101">
            <v>11871.72</v>
          </cell>
          <cell r="S101">
            <v>12065.47</v>
          </cell>
          <cell r="T101">
            <v>12282.421</v>
          </cell>
          <cell r="U101">
            <v>12547.523999999999</v>
          </cell>
          <cell r="V101">
            <v>12864.683000000001</v>
          </cell>
          <cell r="W101">
            <v>13221.825999999999</v>
          </cell>
          <cell r="X101">
            <v>13608.611000000001</v>
          </cell>
          <cell r="Y101">
            <v>14009.168</v>
          </cell>
          <cell r="Z101">
            <v>14410.4</v>
          </cell>
          <cell r="AA101">
            <v>14812.362999999999</v>
          </cell>
          <cell r="AB101">
            <v>15214.615</v>
          </cell>
          <cell r="AC101">
            <v>15603.001</v>
          </cell>
          <cell r="AD101">
            <v>15960.127</v>
          </cell>
          <cell r="AE101">
            <v>16274.74</v>
          </cell>
          <cell r="AF101">
            <v>16539.028999999999</v>
          </cell>
          <cell r="AG101">
            <v>16758.826000000001</v>
          </cell>
          <cell r="AH101">
            <v>16953.620999999999</v>
          </cell>
          <cell r="AI101">
            <v>17151.321</v>
          </cell>
          <cell r="AJ101">
            <v>17372.167000000001</v>
          </cell>
          <cell r="AK101">
            <v>17623.334999999999</v>
          </cell>
          <cell r="AL101">
            <v>17899.236000000001</v>
          </cell>
          <cell r="AM101">
            <v>18191.881000000001</v>
          </cell>
          <cell r="AN101">
            <v>18487.996999999999</v>
          </cell>
          <cell r="AO101">
            <v>18778.100999999999</v>
          </cell>
          <cell r="AP101">
            <v>19058.988000000001</v>
          </cell>
          <cell r="AQ101">
            <v>19334.55</v>
          </cell>
          <cell r="AR101">
            <v>19610.511999999999</v>
          </cell>
          <cell r="AS101">
            <v>19895.39</v>
          </cell>
          <cell r="AT101">
            <v>20194.353999999999</v>
          </cell>
          <cell r="AU101">
            <v>20510.207999999999</v>
          </cell>
          <cell r="AV101">
            <v>20838.081999999999</v>
          </cell>
          <cell r="AW101">
            <v>21166.23</v>
          </cell>
          <cell r="AX101">
            <v>21478.544000000002</v>
          </cell>
          <cell r="AY101">
            <v>21763.67</v>
          </cell>
          <cell r="AZ101">
            <v>22016.51</v>
          </cell>
          <cell r="BA101">
            <v>22240.826000000001</v>
          </cell>
          <cell r="BB101">
            <v>22444.986000000001</v>
          </cell>
          <cell r="BC101">
            <v>22641.746999999999</v>
          </cell>
          <cell r="BD101">
            <v>22840.218000000001</v>
          </cell>
          <cell r="BE101">
            <v>23043.440999999999</v>
          </cell>
          <cell r="BF101">
            <v>23248.053</v>
          </cell>
          <cell r="BG101">
            <v>23449.172999999999</v>
          </cell>
          <cell r="BH101">
            <v>23639.295999999998</v>
          </cell>
          <cell r="BI101">
            <v>23813.324000000001</v>
          </cell>
          <cell r="BJ101">
            <v>23969.897000000001</v>
          </cell>
          <cell r="BK101">
            <v>24111.945</v>
          </cell>
          <cell r="BL101">
            <v>24243.829000000002</v>
          </cell>
          <cell r="BM101">
            <v>24371.806</v>
          </cell>
          <cell r="BN101">
            <v>24500.506000000001</v>
          </cell>
          <cell r="BO101">
            <v>24631.359</v>
          </cell>
          <cell r="BP101">
            <v>24763.352999999999</v>
          </cell>
          <cell r="BQ101">
            <v>24895.705000000002</v>
          </cell>
          <cell r="BR101">
            <v>25026.772000000001</v>
          </cell>
          <cell r="BS101">
            <v>25155.316999999999</v>
          </cell>
        </row>
        <row r="102">
          <cell r="E102">
            <v>392</v>
          </cell>
          <cell r="F102">
            <v>82199.47</v>
          </cell>
          <cell r="G102">
            <v>83794.452000000005</v>
          </cell>
          <cell r="H102">
            <v>85174.909</v>
          </cell>
          <cell r="I102">
            <v>86378.004000000001</v>
          </cell>
          <cell r="J102">
            <v>87438.747000000003</v>
          </cell>
          <cell r="K102">
            <v>88389.994000000006</v>
          </cell>
          <cell r="L102">
            <v>89262.489000000001</v>
          </cell>
          <cell r="M102">
            <v>90084.817999999999</v>
          </cell>
          <cell r="N102">
            <v>90883.29</v>
          </cell>
          <cell r="O102">
            <v>91681.713000000003</v>
          </cell>
          <cell r="P102">
            <v>92500.754000000001</v>
          </cell>
          <cell r="Q102">
            <v>93357.259000000005</v>
          </cell>
          <cell r="R102">
            <v>94263.645999999993</v>
          </cell>
          <cell r="S102">
            <v>95227.653000000006</v>
          </cell>
          <cell r="T102">
            <v>96253.063999999998</v>
          </cell>
          <cell r="U102">
            <v>97341.851999999999</v>
          </cell>
          <cell r="V102">
            <v>98494.63</v>
          </cell>
          <cell r="W102">
            <v>99711.081999999995</v>
          </cell>
          <cell r="X102">
            <v>100988.86599999999</v>
          </cell>
          <cell r="Y102">
            <v>102323.674</v>
          </cell>
          <cell r="Z102">
            <v>103707.537</v>
          </cell>
          <cell r="AA102">
            <v>105142.875</v>
          </cell>
          <cell r="AB102">
            <v>106616.535</v>
          </cell>
          <cell r="AC102">
            <v>108085.72900000001</v>
          </cell>
          <cell r="AD102">
            <v>109495.053</v>
          </cell>
          <cell r="AE102">
            <v>110804.519</v>
          </cell>
          <cell r="AF102">
            <v>111992.85799999999</v>
          </cell>
          <cell r="AG102">
            <v>113067.848</v>
          </cell>
          <cell r="AH102">
            <v>114054.587</v>
          </cell>
          <cell r="AI102">
            <v>114993.274</v>
          </cell>
          <cell r="AJ102">
            <v>115912.10400000001</v>
          </cell>
          <cell r="AK102">
            <v>116821.569</v>
          </cell>
          <cell r="AL102">
            <v>117708.91899999999</v>
          </cell>
          <cell r="AM102">
            <v>118552.09699999999</v>
          </cell>
          <cell r="AN102">
            <v>119318.921</v>
          </cell>
          <cell r="AO102">
            <v>119988.663</v>
          </cell>
          <cell r="AP102">
            <v>120551.455</v>
          </cell>
          <cell r="AQ102">
            <v>121021.83</v>
          </cell>
          <cell r="AR102">
            <v>121432.942</v>
          </cell>
          <cell r="AS102">
            <v>121831.143</v>
          </cell>
          <cell r="AT102">
            <v>122249.285</v>
          </cell>
          <cell r="AU102">
            <v>122702.527</v>
          </cell>
          <cell r="AV102">
            <v>123180.357</v>
          </cell>
          <cell r="AW102">
            <v>123658.85400000001</v>
          </cell>
          <cell r="AX102">
            <v>124101.546</v>
          </cell>
          <cell r="AY102">
            <v>124483.30499999999</v>
          </cell>
          <cell r="AZ102">
            <v>124794.817</v>
          </cell>
          <cell r="BA102">
            <v>125048.424</v>
          </cell>
          <cell r="BB102">
            <v>125266.40300000001</v>
          </cell>
          <cell r="BC102">
            <v>125481.05</v>
          </cell>
          <cell r="BD102">
            <v>125714.674</v>
          </cell>
          <cell r="BE102">
            <v>125974.298</v>
          </cell>
          <cell r="BF102">
            <v>126249.50900000001</v>
          </cell>
          <cell r="BG102">
            <v>126523.88400000001</v>
          </cell>
          <cell r="BH102">
            <v>126773.08100000001</v>
          </cell>
          <cell r="BI102">
            <v>126978.754</v>
          </cell>
          <cell r="BJ102">
            <v>127136.576</v>
          </cell>
          <cell r="BK102">
            <v>127250.015</v>
          </cell>
          <cell r="BL102">
            <v>127317.9</v>
          </cell>
          <cell r="BM102">
            <v>127340.88400000001</v>
          </cell>
          <cell r="BN102">
            <v>127319.802</v>
          </cell>
          <cell r="BO102">
            <v>127252.9</v>
          </cell>
          <cell r="BP102">
            <v>127139.821</v>
          </cell>
          <cell r="BQ102">
            <v>126984.96400000001</v>
          </cell>
          <cell r="BR102">
            <v>126794.564</v>
          </cell>
          <cell r="BS102">
            <v>126573.481</v>
          </cell>
        </row>
        <row r="103">
          <cell r="E103">
            <v>496</v>
          </cell>
          <cell r="F103">
            <v>780.2</v>
          </cell>
          <cell r="G103">
            <v>793.53700000000003</v>
          </cell>
          <cell r="H103">
            <v>807.92600000000004</v>
          </cell>
          <cell r="I103">
            <v>823.06</v>
          </cell>
          <cell r="J103">
            <v>838.78700000000003</v>
          </cell>
          <cell r="K103">
            <v>855.101</v>
          </cell>
          <cell r="L103">
            <v>872.16200000000003</v>
          </cell>
          <cell r="M103">
            <v>890.279</v>
          </cell>
          <cell r="N103">
            <v>909.88499999999999</v>
          </cell>
          <cell r="O103">
            <v>931.48500000000001</v>
          </cell>
          <cell r="P103">
            <v>955.51400000000001</v>
          </cell>
          <cell r="Q103">
            <v>982.18</v>
          </cell>
          <cell r="R103">
            <v>1011.328</v>
          </cell>
          <cell r="S103">
            <v>1042.383</v>
          </cell>
          <cell r="T103">
            <v>1074.5170000000001</v>
          </cell>
          <cell r="U103">
            <v>1107.125</v>
          </cell>
          <cell r="V103">
            <v>1139.96</v>
          </cell>
          <cell r="W103">
            <v>1173.1859999999999</v>
          </cell>
          <cell r="X103">
            <v>1207.1079999999999</v>
          </cell>
          <cell r="Y103">
            <v>1242.213</v>
          </cell>
          <cell r="Z103">
            <v>1278.825</v>
          </cell>
          <cell r="AA103">
            <v>1317.049</v>
          </cell>
          <cell r="AB103">
            <v>1356.6690000000001</v>
          </cell>
          <cell r="AC103">
            <v>1397.3050000000001</v>
          </cell>
          <cell r="AD103">
            <v>1438.423</v>
          </cell>
          <cell r="AE103">
            <v>1479.65</v>
          </cell>
          <cell r="AF103">
            <v>1520.865</v>
          </cell>
          <cell r="AG103">
            <v>1562.212</v>
          </cell>
          <cell r="AH103">
            <v>1603.9079999999999</v>
          </cell>
          <cell r="AI103">
            <v>1646.2909999999999</v>
          </cell>
          <cell r="AJ103">
            <v>1689.6220000000001</v>
          </cell>
          <cell r="AK103">
            <v>1733.479</v>
          </cell>
          <cell r="AL103">
            <v>1777.7270000000001</v>
          </cell>
          <cell r="AM103">
            <v>1823.2149999999999</v>
          </cell>
          <cell r="AN103">
            <v>1871.087</v>
          </cell>
          <cell r="AO103">
            <v>1921.885</v>
          </cell>
          <cell r="AP103">
            <v>1976.3109999999999</v>
          </cell>
          <cell r="AQ103">
            <v>2033.345</v>
          </cell>
          <cell r="AR103">
            <v>2089.7159999999999</v>
          </cell>
          <cell r="AS103">
            <v>2141.0059999999999</v>
          </cell>
          <cell r="AT103">
            <v>2184.145</v>
          </cell>
          <cell r="AU103">
            <v>2217.92</v>
          </cell>
          <cell r="AV103">
            <v>2243.5059999999999</v>
          </cell>
          <cell r="AW103">
            <v>2263.2040000000002</v>
          </cell>
          <cell r="AX103">
            <v>2280.4949999999999</v>
          </cell>
          <cell r="AY103">
            <v>2298.038</v>
          </cell>
          <cell r="AZ103">
            <v>2316.5709999999999</v>
          </cell>
          <cell r="BA103">
            <v>2335.694</v>
          </cell>
          <cell r="BB103">
            <v>2355.5880000000002</v>
          </cell>
          <cell r="BC103">
            <v>2376.165</v>
          </cell>
          <cell r="BD103">
            <v>2397.4380000000001</v>
          </cell>
          <cell r="BE103">
            <v>2419.7289999999998</v>
          </cell>
          <cell r="BF103">
            <v>2443.5030000000002</v>
          </cell>
          <cell r="BG103">
            <v>2469.0450000000001</v>
          </cell>
          <cell r="BH103">
            <v>2496.6210000000001</v>
          </cell>
          <cell r="BI103">
            <v>2526.4470000000001</v>
          </cell>
          <cell r="BJ103">
            <v>2558.4839999999999</v>
          </cell>
          <cell r="BK103">
            <v>2592.7759999999998</v>
          </cell>
          <cell r="BL103">
            <v>2629.6660000000002</v>
          </cell>
          <cell r="BM103">
            <v>2669.5720000000001</v>
          </cell>
          <cell r="BN103">
            <v>2712.6570000000002</v>
          </cell>
          <cell r="BO103">
            <v>2759.0740000000001</v>
          </cell>
          <cell r="BP103">
            <v>2808.3389999999999</v>
          </cell>
          <cell r="BQ103">
            <v>2859.174</v>
          </cell>
          <cell r="BR103">
            <v>2909.8710000000001</v>
          </cell>
          <cell r="BS103">
            <v>2959.134</v>
          </cell>
        </row>
        <row r="104">
          <cell r="E104">
            <v>410</v>
          </cell>
          <cell r="F104">
            <v>19211.385999999999</v>
          </cell>
          <cell r="G104">
            <v>19304.737000000001</v>
          </cell>
          <cell r="H104">
            <v>19566.86</v>
          </cell>
          <cell r="I104">
            <v>19979.069</v>
          </cell>
          <cell r="J104">
            <v>20520.600999999999</v>
          </cell>
          <cell r="K104">
            <v>21168.611000000001</v>
          </cell>
          <cell r="L104">
            <v>21897.911</v>
          </cell>
          <cell r="M104">
            <v>22681.233</v>
          </cell>
          <cell r="N104">
            <v>23490.026999999998</v>
          </cell>
          <cell r="O104">
            <v>24295.786</v>
          </cell>
          <cell r="P104">
            <v>25074.027999999998</v>
          </cell>
          <cell r="Q104">
            <v>25808.542000000001</v>
          </cell>
          <cell r="R104">
            <v>26495.107</v>
          </cell>
          <cell r="S104">
            <v>27143.075000000001</v>
          </cell>
          <cell r="T104">
            <v>27770.874</v>
          </cell>
          <cell r="U104">
            <v>28392.722000000002</v>
          </cell>
          <cell r="V104">
            <v>29006.181</v>
          </cell>
          <cell r="W104">
            <v>29606.633000000002</v>
          </cell>
          <cell r="X104">
            <v>30204.127</v>
          </cell>
          <cell r="Y104">
            <v>30811.523000000001</v>
          </cell>
          <cell r="Z104">
            <v>31437.141</v>
          </cell>
          <cell r="AA104">
            <v>32087.883999999998</v>
          </cell>
          <cell r="AB104">
            <v>32759.447</v>
          </cell>
          <cell r="AC104">
            <v>33435.267999999996</v>
          </cell>
          <cell r="AD104">
            <v>34091.815999999999</v>
          </cell>
          <cell r="AE104">
            <v>34713.078000000001</v>
          </cell>
          <cell r="AF104">
            <v>35290.737000000001</v>
          </cell>
          <cell r="AG104">
            <v>35832.213000000003</v>
          </cell>
          <cell r="AH104">
            <v>36356.186999999998</v>
          </cell>
          <cell r="AI104">
            <v>36889.650999999998</v>
          </cell>
          <cell r="AJ104">
            <v>37451.084999999999</v>
          </cell>
          <cell r="AK104">
            <v>38046.252999999997</v>
          </cell>
          <cell r="AL104">
            <v>38665.964</v>
          </cell>
          <cell r="AM104">
            <v>39295.417999999998</v>
          </cell>
          <cell r="AN104">
            <v>39912.9</v>
          </cell>
          <cell r="AO104">
            <v>40501.917000000001</v>
          </cell>
          <cell r="AP104">
            <v>41059.472999999998</v>
          </cell>
          <cell r="AQ104">
            <v>41588.374000000003</v>
          </cell>
          <cell r="AR104">
            <v>42085.05</v>
          </cell>
          <cell r="AS104">
            <v>42546.703999999998</v>
          </cell>
          <cell r="AT104">
            <v>42972.254000000001</v>
          </cell>
          <cell r="AU104">
            <v>43358.716</v>
          </cell>
          <cell r="AV104">
            <v>43708.17</v>
          </cell>
          <cell r="AW104">
            <v>44031.222000000002</v>
          </cell>
          <cell r="AX104">
            <v>44342.53</v>
          </cell>
          <cell r="AY104">
            <v>44652.993999999999</v>
          </cell>
          <cell r="AZ104">
            <v>44967.345999999998</v>
          </cell>
          <cell r="BA104">
            <v>45283.938999999998</v>
          </cell>
          <cell r="BB104">
            <v>45599.569000000003</v>
          </cell>
          <cell r="BC104">
            <v>45908.307000000001</v>
          </cell>
          <cell r="BD104">
            <v>46206.271000000001</v>
          </cell>
          <cell r="BE104">
            <v>46492.324000000001</v>
          </cell>
          <cell r="BF104">
            <v>46769.578999999998</v>
          </cell>
          <cell r="BG104">
            <v>47043.250999999997</v>
          </cell>
          <cell r="BH104">
            <v>47320.453999999998</v>
          </cell>
          <cell r="BI104">
            <v>47605.862999999998</v>
          </cell>
          <cell r="BJ104">
            <v>47901.642999999996</v>
          </cell>
          <cell r="BK104">
            <v>48205.061999999998</v>
          </cell>
          <cell r="BL104">
            <v>48509.841999999997</v>
          </cell>
          <cell r="BM104">
            <v>48807.036</v>
          </cell>
          <cell r="BN104">
            <v>49090.040999999997</v>
          </cell>
          <cell r="BO104">
            <v>49356.692000000003</v>
          </cell>
          <cell r="BP104">
            <v>49608.451000000001</v>
          </cell>
          <cell r="BQ104">
            <v>49846.756000000001</v>
          </cell>
          <cell r="BR104">
            <v>50074.400999999998</v>
          </cell>
          <cell r="BS104">
            <v>50293.438999999998</v>
          </cell>
        </row>
        <row r="105">
          <cell r="E105">
            <v>158</v>
          </cell>
          <cell r="F105">
            <v>7561.8630000000003</v>
          </cell>
          <cell r="G105">
            <v>7806.9380000000001</v>
          </cell>
          <cell r="H105">
            <v>8053.5690000000004</v>
          </cell>
          <cell r="I105">
            <v>8307.3520000000008</v>
          </cell>
          <cell r="J105">
            <v>8572.6309999999994</v>
          </cell>
          <cell r="K105">
            <v>8852.5</v>
          </cell>
          <cell r="L105">
            <v>9148.7569999999996</v>
          </cell>
          <cell r="M105">
            <v>9461.9500000000007</v>
          </cell>
          <cell r="N105">
            <v>9791.4989999999998</v>
          </cell>
          <cell r="O105">
            <v>10135.894</v>
          </cell>
          <cell r="P105">
            <v>10493.316000000001</v>
          </cell>
          <cell r="Q105">
            <v>10862.281999999999</v>
          </cell>
          <cell r="R105">
            <v>11242.221</v>
          </cell>
          <cell r="S105">
            <v>11633.716</v>
          </cell>
          <cell r="T105">
            <v>12037.811</v>
          </cell>
          <cell r="U105">
            <v>12453.974</v>
          </cell>
          <cell r="V105">
            <v>12884.384</v>
          </cell>
          <cell r="W105">
            <v>13325.128000000001</v>
          </cell>
          <cell r="X105">
            <v>13762.347</v>
          </cell>
          <cell r="Y105">
            <v>14177.772999999999</v>
          </cell>
          <cell r="Z105">
            <v>14559.097</v>
          </cell>
          <cell r="AA105">
            <v>14898.948</v>
          </cell>
          <cell r="AB105">
            <v>15202.694</v>
          </cell>
          <cell r="AC105">
            <v>15486.43</v>
          </cell>
          <cell r="AD105">
            <v>15773.495999999999</v>
          </cell>
          <cell r="AE105">
            <v>16080.317999999999</v>
          </cell>
          <cell r="AF105">
            <v>16412.024000000001</v>
          </cell>
          <cell r="AG105">
            <v>16762.038</v>
          </cell>
          <cell r="AH105">
            <v>17120.800999999999</v>
          </cell>
          <cell r="AI105">
            <v>17473.695</v>
          </cell>
          <cell r="AJ105">
            <v>17809.744999999999</v>
          </cell>
          <cell r="AK105">
            <v>18127.168000000001</v>
          </cell>
          <cell r="AL105">
            <v>18428.534</v>
          </cell>
          <cell r="AM105">
            <v>18712.421999999999</v>
          </cell>
          <cell r="AN105">
            <v>18978.106</v>
          </cell>
          <cell r="AO105">
            <v>19225.52</v>
          </cell>
          <cell r="AP105">
            <v>19453.067999999999</v>
          </cell>
          <cell r="AQ105">
            <v>19661.508999999998</v>
          </cell>
          <cell r="AR105">
            <v>19856.240000000002</v>
          </cell>
          <cell r="AS105">
            <v>20044.703000000001</v>
          </cell>
          <cell r="AT105">
            <v>20232.353999999999</v>
          </cell>
          <cell r="AU105">
            <v>20421.637999999999</v>
          </cell>
          <cell r="AV105">
            <v>20611.48</v>
          </cell>
          <cell r="AW105">
            <v>20799.526999999998</v>
          </cell>
          <cell r="AX105">
            <v>20981.827000000001</v>
          </cell>
          <cell r="AY105">
            <v>21155.721000000001</v>
          </cell>
          <cell r="AZ105">
            <v>21320.108</v>
          </cell>
          <cell r="BA105">
            <v>21476.641</v>
          </cell>
          <cell r="BB105">
            <v>21628.592000000001</v>
          </cell>
          <cell r="BC105">
            <v>21780.544000000002</v>
          </cell>
          <cell r="BD105">
            <v>21935.444</v>
          </cell>
          <cell r="BE105">
            <v>22094.394</v>
          </cell>
          <cell r="BF105">
            <v>22255.348999999998</v>
          </cell>
          <cell r="BG105">
            <v>22414.218000000001</v>
          </cell>
          <cell r="BH105">
            <v>22565.243999999999</v>
          </cell>
          <cell r="BI105">
            <v>22704.059000000001</v>
          </cell>
          <cell r="BJ105">
            <v>22829.587</v>
          </cell>
          <cell r="BK105">
            <v>22942.424999999999</v>
          </cell>
          <cell r="BL105">
            <v>23041.953000000001</v>
          </cell>
          <cell r="BM105">
            <v>23127.929</v>
          </cell>
          <cell r="BN105">
            <v>23200.404999999999</v>
          </cell>
          <cell r="BO105">
            <v>23258.787</v>
          </cell>
          <cell r="BP105">
            <v>23303.446</v>
          </cell>
          <cell r="BQ105">
            <v>23336.703000000001</v>
          </cell>
          <cell r="BR105">
            <v>23361.753000000001</v>
          </cell>
          <cell r="BS105">
            <v>23381.038</v>
          </cell>
        </row>
        <row r="106">
          <cell r="E106">
            <v>921</v>
          </cell>
          <cell r="F106">
            <v>511574.18199999997</v>
          </cell>
          <cell r="G106">
            <v>519888.11499999999</v>
          </cell>
          <cell r="H106">
            <v>528761.66399999999</v>
          </cell>
          <cell r="I106">
            <v>538178.12300000002</v>
          </cell>
          <cell r="J106">
            <v>548124.01500000001</v>
          </cell>
          <cell r="K106">
            <v>558589.05599999998</v>
          </cell>
          <cell r="L106">
            <v>569566.353</v>
          </cell>
          <cell r="M106">
            <v>581052.22100000002</v>
          </cell>
          <cell r="N106">
            <v>593045.69700000004</v>
          </cell>
          <cell r="O106">
            <v>605547.72199999995</v>
          </cell>
          <cell r="P106">
            <v>618558.70900000003</v>
          </cell>
          <cell r="Q106">
            <v>632075.89</v>
          </cell>
          <cell r="R106">
            <v>646091.06299999997</v>
          </cell>
          <cell r="S106">
            <v>660589.61</v>
          </cell>
          <cell r="T106">
            <v>675553.24800000002</v>
          </cell>
          <cell r="U106">
            <v>690968.22699999996</v>
          </cell>
          <cell r="V106">
            <v>706837.63699999999</v>
          </cell>
          <cell r="W106">
            <v>723164.21400000004</v>
          </cell>
          <cell r="X106">
            <v>739935.16299999994</v>
          </cell>
          <cell r="Y106">
            <v>757134.95200000005</v>
          </cell>
          <cell r="Z106">
            <v>774758.47100000002</v>
          </cell>
          <cell r="AA106">
            <v>792798.29599999997</v>
          </cell>
          <cell r="AB106">
            <v>811274.92200000002</v>
          </cell>
          <cell r="AC106">
            <v>830246.04</v>
          </cell>
          <cell r="AD106">
            <v>849788.603</v>
          </cell>
          <cell r="AE106">
            <v>869959.68099999998</v>
          </cell>
          <cell r="AF106">
            <v>890767.90599999996</v>
          </cell>
          <cell r="AG106">
            <v>912201.63</v>
          </cell>
          <cell r="AH106">
            <v>934270.10699999996</v>
          </cell>
          <cell r="AI106">
            <v>956978.23800000001</v>
          </cell>
          <cell r="AJ106">
            <v>980320.05500000005</v>
          </cell>
          <cell r="AK106">
            <v>1004276.928</v>
          </cell>
          <cell r="AL106">
            <v>1028817.03</v>
          </cell>
          <cell r="AM106">
            <v>1053899.1340000001</v>
          </cell>
          <cell r="AN106">
            <v>1079471.8910000001</v>
          </cell>
          <cell r="AO106">
            <v>1105478.1669999999</v>
          </cell>
          <cell r="AP106">
            <v>1131905.577</v>
          </cell>
          <cell r="AQ106">
            <v>1158699.1429999999</v>
          </cell>
          <cell r="AR106">
            <v>1185707.568</v>
          </cell>
          <cell r="AS106">
            <v>1212742.2150000001</v>
          </cell>
          <cell r="AT106">
            <v>1239665.5689999999</v>
          </cell>
          <cell r="AU106">
            <v>1266394.068</v>
          </cell>
          <cell r="AV106">
            <v>1292944.2080000001</v>
          </cell>
          <cell r="AW106">
            <v>1319403.419</v>
          </cell>
          <cell r="AX106">
            <v>1345914.0719999999</v>
          </cell>
          <cell r="AY106">
            <v>1372573.804</v>
          </cell>
          <cell r="AZ106">
            <v>1399390.4029999999</v>
          </cell>
          <cell r="BA106">
            <v>1426304.4609999999</v>
          </cell>
          <cell r="BB106">
            <v>1453265.692</v>
          </cell>
          <cell r="BC106">
            <v>1480201.2290000001</v>
          </cell>
          <cell r="BD106">
            <v>1507050.173</v>
          </cell>
          <cell r="BE106">
            <v>1533809.9939999999</v>
          </cell>
          <cell r="BF106">
            <v>1560473.969</v>
          </cell>
          <cell r="BG106">
            <v>1586972.77</v>
          </cell>
          <cell r="BH106">
            <v>1613221.9620000001</v>
          </cell>
          <cell r="BI106">
            <v>1639167.057</v>
          </cell>
          <cell r="BJ106">
            <v>1664766.1839999999</v>
          </cell>
          <cell r="BK106">
            <v>1690046.95</v>
          </cell>
          <cell r="BL106">
            <v>1715111.0889999999</v>
          </cell>
          <cell r="BM106">
            <v>1740104.051</v>
          </cell>
          <cell r="BN106">
            <v>1765129.4680000001</v>
          </cell>
          <cell r="BO106">
            <v>1790207.6580000001</v>
          </cell>
          <cell r="BP106">
            <v>1815299.9669999999</v>
          </cell>
          <cell r="BQ106">
            <v>1840377.1340000001</v>
          </cell>
          <cell r="BR106">
            <v>1865388.8089999999</v>
          </cell>
          <cell r="BS106">
            <v>1890288.1070000001</v>
          </cell>
        </row>
        <row r="107">
          <cell r="E107">
            <v>5500</v>
          </cell>
          <cell r="F107">
            <v>18130.895</v>
          </cell>
          <cell r="G107">
            <v>18503.272000000001</v>
          </cell>
          <cell r="H107">
            <v>18975.931</v>
          </cell>
          <cell r="I107">
            <v>19526.324000000001</v>
          </cell>
          <cell r="J107">
            <v>20136.495999999999</v>
          </cell>
          <cell r="K107">
            <v>20793.087</v>
          </cell>
          <cell r="L107">
            <v>21487.558000000001</v>
          </cell>
          <cell r="M107">
            <v>22215.963</v>
          </cell>
          <cell r="N107">
            <v>22978.294000000002</v>
          </cell>
          <cell r="O107">
            <v>23777.366000000002</v>
          </cell>
          <cell r="P107">
            <v>24615.525000000001</v>
          </cell>
          <cell r="Q107">
            <v>25491.1</v>
          </cell>
          <cell r="R107">
            <v>26395.322</v>
          </cell>
          <cell r="S107">
            <v>27311.003000000001</v>
          </cell>
          <cell r="T107">
            <v>28216.277999999998</v>
          </cell>
          <cell r="U107">
            <v>29095.645</v>
          </cell>
          <cell r="V107">
            <v>29940.05</v>
          </cell>
          <cell r="W107">
            <v>30753.11</v>
          </cell>
          <cell r="X107">
            <v>31547.748</v>
          </cell>
          <cell r="Y107">
            <v>32343.898000000001</v>
          </cell>
          <cell r="Z107">
            <v>33155.57</v>
          </cell>
          <cell r="AA107">
            <v>33988.394999999997</v>
          </cell>
          <cell r="AB107">
            <v>34836.544999999998</v>
          </cell>
          <cell r="AC107">
            <v>35689.123</v>
          </cell>
          <cell r="AD107">
            <v>36530.053</v>
          </cell>
          <cell r="AE107">
            <v>37348.824999999997</v>
          </cell>
          <cell r="AF107">
            <v>38141.103000000003</v>
          </cell>
          <cell r="AG107">
            <v>38913.853999999999</v>
          </cell>
          <cell r="AH107">
            <v>39681.514999999999</v>
          </cell>
          <cell r="AI107">
            <v>40464.387999999999</v>
          </cell>
          <cell r="AJ107">
            <v>41277.031000000003</v>
          </cell>
          <cell r="AK107">
            <v>42119.078999999998</v>
          </cell>
          <cell r="AL107">
            <v>42984.866999999998</v>
          </cell>
          <cell r="AM107">
            <v>43876.381999999998</v>
          </cell>
          <cell r="AN107">
            <v>44794.919000000002</v>
          </cell>
          <cell r="AO107">
            <v>45737.83</v>
          </cell>
          <cell r="AP107">
            <v>46709.762999999999</v>
          </cell>
          <cell r="AQ107">
            <v>47700.798000000003</v>
          </cell>
          <cell r="AR107">
            <v>48675.733999999997</v>
          </cell>
          <cell r="AS107">
            <v>49588.148999999998</v>
          </cell>
          <cell r="AT107">
            <v>50405.063000000002</v>
          </cell>
          <cell r="AU107">
            <v>51116.26</v>
          </cell>
          <cell r="AV107">
            <v>51731.995999999999</v>
          </cell>
          <cell r="AW107">
            <v>52266.04</v>
          </cell>
          <cell r="AX107">
            <v>52741.31</v>
          </cell>
          <cell r="AY107">
            <v>53177.843999999997</v>
          </cell>
          <cell r="AZ107">
            <v>53578.654999999999</v>
          </cell>
          <cell r="BA107">
            <v>53947.940999999999</v>
          </cell>
          <cell r="BB107">
            <v>54309.336000000003</v>
          </cell>
          <cell r="BC107">
            <v>54691.748</v>
          </cell>
          <cell r="BD107">
            <v>55117.411999999997</v>
          </cell>
          <cell r="BE107">
            <v>55597.877999999997</v>
          </cell>
          <cell r="BF107">
            <v>56134.21</v>
          </cell>
          <cell r="BG107">
            <v>56724.644999999997</v>
          </cell>
          <cell r="BH107">
            <v>57362.5</v>
          </cell>
          <cell r="BI107">
            <v>58042.955000000002</v>
          </cell>
          <cell r="BJ107">
            <v>58763.822999999997</v>
          </cell>
          <cell r="BK107">
            <v>59528.135999999999</v>
          </cell>
          <cell r="BL107">
            <v>60341.336000000003</v>
          </cell>
          <cell r="BM107">
            <v>61210.695</v>
          </cell>
          <cell r="BN107">
            <v>62138.646000000001</v>
          </cell>
          <cell r="BO107">
            <v>63127.124000000003</v>
          </cell>
          <cell r="BP107">
            <v>64166.006000000001</v>
          </cell>
          <cell r="BQ107">
            <v>65230.587</v>
          </cell>
          <cell r="BR107">
            <v>66288.179000000004</v>
          </cell>
          <cell r="BS107">
            <v>67314.032999999996</v>
          </cell>
        </row>
        <row r="108">
          <cell r="E108">
            <v>398</v>
          </cell>
          <cell r="F108">
            <v>6702.9960000000001</v>
          </cell>
          <cell r="G108">
            <v>6831.1580000000004</v>
          </cell>
          <cell r="H108">
            <v>7041.6049999999996</v>
          </cell>
          <cell r="I108">
            <v>7315.5069999999996</v>
          </cell>
          <cell r="J108">
            <v>7636.7650000000003</v>
          </cell>
          <cell r="K108">
            <v>7992.0020000000004</v>
          </cell>
          <cell r="L108">
            <v>8370.6740000000009</v>
          </cell>
          <cell r="M108">
            <v>8764.9609999999993</v>
          </cell>
          <cell r="N108">
            <v>9169.4840000000004</v>
          </cell>
          <cell r="O108">
            <v>9580.8089999999993</v>
          </cell>
          <cell r="P108">
            <v>9995.9969999999994</v>
          </cell>
          <cell r="Q108">
            <v>10411.040000000001</v>
          </cell>
          <cell r="R108">
            <v>10819.503000000001</v>
          </cell>
          <cell r="S108">
            <v>11211.938</v>
          </cell>
          <cell r="T108">
            <v>11577.537</v>
          </cell>
          <cell r="U108">
            <v>11909.001</v>
          </cell>
          <cell r="V108">
            <v>12200.891</v>
          </cell>
          <cell r="W108">
            <v>12455.366</v>
          </cell>
          <cell r="X108">
            <v>12682.451999999999</v>
          </cell>
          <cell r="Y108">
            <v>12897.025</v>
          </cell>
          <cell r="Z108">
            <v>13109.992</v>
          </cell>
          <cell r="AA108">
            <v>13325.342000000001</v>
          </cell>
          <cell r="AB108">
            <v>13540.300999999999</v>
          </cell>
          <cell r="AC108">
            <v>13751.019</v>
          </cell>
          <cell r="AD108">
            <v>13950.986999999999</v>
          </cell>
          <cell r="AE108">
            <v>14136.005999999999</v>
          </cell>
          <cell r="AF108">
            <v>14304.946</v>
          </cell>
          <cell r="AG108">
            <v>14461.278</v>
          </cell>
          <cell r="AH108">
            <v>14610.81</v>
          </cell>
          <cell r="AI108">
            <v>14761.509</v>
          </cell>
          <cell r="AJ108">
            <v>14918.991</v>
          </cell>
          <cell r="AK108">
            <v>15082.184999999999</v>
          </cell>
          <cell r="AL108">
            <v>15248.458000000001</v>
          </cell>
          <cell r="AM108">
            <v>15419.451999999999</v>
          </cell>
          <cell r="AN108">
            <v>15596.92</v>
          </cell>
          <cell r="AO108">
            <v>15780.002</v>
          </cell>
          <cell r="AP108">
            <v>15972.36</v>
          </cell>
          <cell r="AQ108">
            <v>16167.925999999999</v>
          </cell>
          <cell r="AR108">
            <v>16344.308000000001</v>
          </cell>
          <cell r="AS108">
            <v>16471.843000000001</v>
          </cell>
          <cell r="AT108">
            <v>16530.026999999998</v>
          </cell>
          <cell r="AU108">
            <v>16514.269</v>
          </cell>
          <cell r="AV108">
            <v>16433.379000000001</v>
          </cell>
          <cell r="AW108">
            <v>16297.681</v>
          </cell>
          <cell r="AX108">
            <v>16123.445</v>
          </cell>
          <cell r="AY108">
            <v>15925.913</v>
          </cell>
          <cell r="AZ108">
            <v>15704.673000000001</v>
          </cell>
          <cell r="BA108">
            <v>15465.648999999999</v>
          </cell>
          <cell r="BB108">
            <v>15238.339</v>
          </cell>
          <cell r="BC108">
            <v>15059.994000000001</v>
          </cell>
          <cell r="BD108">
            <v>14956.769</v>
          </cell>
          <cell r="BE108">
            <v>14942.788</v>
          </cell>
          <cell r="BF108">
            <v>15010.919</v>
          </cell>
          <cell r="BG108">
            <v>15139.324000000001</v>
          </cell>
          <cell r="BH108">
            <v>15294.474</v>
          </cell>
          <cell r="BI108">
            <v>15451.752</v>
          </cell>
          <cell r="BJ108">
            <v>15603.072</v>
          </cell>
          <cell r="BK108">
            <v>15755.242</v>
          </cell>
          <cell r="BL108">
            <v>15915.966</v>
          </cell>
          <cell r="BM108">
            <v>16098.356</v>
          </cell>
          <cell r="BN108">
            <v>16310.624</v>
          </cell>
          <cell r="BO108">
            <v>16554.305</v>
          </cell>
          <cell r="BP108">
            <v>16821.455000000002</v>
          </cell>
          <cell r="BQ108">
            <v>17099.545999999998</v>
          </cell>
          <cell r="BR108">
            <v>17371.620999999999</v>
          </cell>
          <cell r="BS108">
            <v>17625.225999999999</v>
          </cell>
        </row>
        <row r="109">
          <cell r="E109">
            <v>417</v>
          </cell>
          <cell r="F109">
            <v>1740</v>
          </cell>
          <cell r="G109">
            <v>1763.2260000000001</v>
          </cell>
          <cell r="H109">
            <v>1791.952</v>
          </cell>
          <cell r="I109">
            <v>1825.123</v>
          </cell>
          <cell r="J109">
            <v>1862.068</v>
          </cell>
          <cell r="K109">
            <v>1902.499</v>
          </cell>
          <cell r="L109">
            <v>1946.54</v>
          </cell>
          <cell r="M109">
            <v>1994.6969999999999</v>
          </cell>
          <cell r="N109">
            <v>2047.7840000000001</v>
          </cell>
          <cell r="O109">
            <v>2106.7919999999999</v>
          </cell>
          <cell r="P109">
            <v>2172.5</v>
          </cell>
          <cell r="Q109">
            <v>2245.0619999999999</v>
          </cell>
          <cell r="R109">
            <v>2323.6419999999998</v>
          </cell>
          <cell r="S109">
            <v>2406.2629999999999</v>
          </cell>
          <cell r="T109">
            <v>2490.2440000000001</v>
          </cell>
          <cell r="U109">
            <v>2573.4940000000001</v>
          </cell>
          <cell r="V109">
            <v>2655.3490000000002</v>
          </cell>
          <cell r="W109">
            <v>2735.8380000000002</v>
          </cell>
          <cell r="X109">
            <v>2814.4229999999998</v>
          </cell>
          <cell r="Y109">
            <v>2890.72</v>
          </cell>
          <cell r="Z109">
            <v>2964.4989999999998</v>
          </cell>
          <cell r="AA109">
            <v>3035.4740000000002</v>
          </cell>
          <cell r="AB109">
            <v>3103.694</v>
          </cell>
          <cell r="AC109">
            <v>3169.7710000000002</v>
          </cell>
          <cell r="AD109">
            <v>3234.6109999999999</v>
          </cell>
          <cell r="AE109">
            <v>3299.0010000000002</v>
          </cell>
          <cell r="AF109">
            <v>3362.9609999999998</v>
          </cell>
          <cell r="AG109">
            <v>3426.6460000000002</v>
          </cell>
          <cell r="AH109">
            <v>3491.143</v>
          </cell>
          <cell r="AI109">
            <v>3557.7930000000001</v>
          </cell>
          <cell r="AJ109">
            <v>3627.4989999999998</v>
          </cell>
          <cell r="AK109">
            <v>3700.3119999999999</v>
          </cell>
          <cell r="AL109">
            <v>3775.7640000000001</v>
          </cell>
          <cell r="AM109">
            <v>3853.5140000000001</v>
          </cell>
          <cell r="AN109">
            <v>3933.002</v>
          </cell>
          <cell r="AO109">
            <v>4013.498</v>
          </cell>
          <cell r="AP109">
            <v>4095.873</v>
          </cell>
          <cell r="AQ109">
            <v>4179.4840000000004</v>
          </cell>
          <cell r="AR109">
            <v>4260.3249999999998</v>
          </cell>
          <cell r="AS109">
            <v>4333.1139999999996</v>
          </cell>
          <cell r="AT109">
            <v>4394.5020000000004</v>
          </cell>
          <cell r="AU109">
            <v>4441.78</v>
          </cell>
          <cell r="AV109">
            <v>4477.0379999999996</v>
          </cell>
          <cell r="AW109">
            <v>4507.5649999999996</v>
          </cell>
          <cell r="AX109">
            <v>4543.6019999999999</v>
          </cell>
          <cell r="AY109">
            <v>4592.1350000000002</v>
          </cell>
          <cell r="AZ109">
            <v>4656.8940000000002</v>
          </cell>
          <cell r="BA109">
            <v>4734.7610000000004</v>
          </cell>
          <cell r="BB109">
            <v>4817.6080000000002</v>
          </cell>
          <cell r="BC109">
            <v>4893.6580000000004</v>
          </cell>
          <cell r="BD109">
            <v>4954.8500000000004</v>
          </cell>
          <cell r="BE109">
            <v>4998.2860000000001</v>
          </cell>
          <cell r="BF109">
            <v>5027.9189999999999</v>
          </cell>
          <cell r="BG109">
            <v>5050.8670000000002</v>
          </cell>
          <cell r="BH109">
            <v>5077.5150000000003</v>
          </cell>
          <cell r="BI109">
            <v>5115.47</v>
          </cell>
          <cell r="BJ109">
            <v>5166.6440000000002</v>
          </cell>
          <cell r="BK109">
            <v>5228.9369999999999</v>
          </cell>
          <cell r="BL109">
            <v>5301.0379999999996</v>
          </cell>
          <cell r="BM109">
            <v>5380.31</v>
          </cell>
          <cell r="BN109">
            <v>5464.567</v>
          </cell>
          <cell r="BO109">
            <v>5553.8270000000002</v>
          </cell>
          <cell r="BP109">
            <v>5648.23</v>
          </cell>
          <cell r="BQ109">
            <v>5745.6980000000003</v>
          </cell>
          <cell r="BR109">
            <v>5843.6170000000002</v>
          </cell>
          <cell r="BS109">
            <v>5939.9620000000004</v>
          </cell>
        </row>
        <row r="110">
          <cell r="E110">
            <v>762</v>
          </cell>
          <cell r="F110">
            <v>1531.502</v>
          </cell>
          <cell r="G110">
            <v>1576.454</v>
          </cell>
          <cell r="H110">
            <v>1624.5419999999999</v>
          </cell>
          <cell r="I110">
            <v>1674.117</v>
          </cell>
          <cell r="J110">
            <v>1724.204</v>
          </cell>
          <cell r="K110">
            <v>1774.5039999999999</v>
          </cell>
          <cell r="L110">
            <v>1825.4369999999999</v>
          </cell>
          <cell r="M110">
            <v>1878.098</v>
          </cell>
          <cell r="N110">
            <v>1934.134</v>
          </cell>
          <cell r="O110">
            <v>1995.539</v>
          </cell>
          <cell r="P110">
            <v>2064.0349999999999</v>
          </cell>
          <cell r="Q110">
            <v>2140.413</v>
          </cell>
          <cell r="R110">
            <v>2223.9560000000001</v>
          </cell>
          <cell r="S110">
            <v>2312.1930000000002</v>
          </cell>
          <cell r="T110">
            <v>2401.598</v>
          </cell>
          <cell r="U110">
            <v>2489.6480000000001</v>
          </cell>
          <cell r="V110">
            <v>2575.335</v>
          </cell>
          <cell r="W110">
            <v>2659.4520000000002</v>
          </cell>
          <cell r="X110">
            <v>2743.4609999999998</v>
          </cell>
          <cell r="Y110">
            <v>2829.6410000000001</v>
          </cell>
          <cell r="Z110">
            <v>2919.5859999999998</v>
          </cell>
          <cell r="AA110">
            <v>3013.9560000000001</v>
          </cell>
          <cell r="AB110">
            <v>3112.0410000000002</v>
          </cell>
          <cell r="AC110">
            <v>3212.4459999999999</v>
          </cell>
          <cell r="AD110">
            <v>3313.1439999999998</v>
          </cell>
          <cell r="AE110">
            <v>3412.819</v>
          </cell>
          <cell r="AF110">
            <v>3511.05</v>
          </cell>
          <cell r="AG110">
            <v>3608.761</v>
          </cell>
          <cell r="AH110">
            <v>3707.6239999999998</v>
          </cell>
          <cell r="AI110">
            <v>3809.991</v>
          </cell>
          <cell r="AJ110">
            <v>3917.6419999999998</v>
          </cell>
          <cell r="AK110">
            <v>4030.1039999999998</v>
          </cell>
          <cell r="AL110">
            <v>4146.9229999999998</v>
          </cell>
          <cell r="AM110">
            <v>4269.7749999999996</v>
          </cell>
          <cell r="AN110">
            <v>4400.7430000000004</v>
          </cell>
          <cell r="AO110">
            <v>4540.6880000000001</v>
          </cell>
          <cell r="AP110">
            <v>4690.9129999999996</v>
          </cell>
          <cell r="AQ110">
            <v>4849.2529999999997</v>
          </cell>
          <cell r="AR110">
            <v>5008.8270000000002</v>
          </cell>
          <cell r="AS110">
            <v>5160.375</v>
          </cell>
          <cell r="AT110">
            <v>5297.2860000000001</v>
          </cell>
          <cell r="AU110">
            <v>5417.5540000000001</v>
          </cell>
          <cell r="AV110">
            <v>5523.2070000000003</v>
          </cell>
          <cell r="AW110">
            <v>5616.7969999999996</v>
          </cell>
          <cell r="AX110">
            <v>5702.6109999999999</v>
          </cell>
          <cell r="AY110">
            <v>5784.33</v>
          </cell>
          <cell r="AZ110">
            <v>5862.2240000000002</v>
          </cell>
          <cell r="BA110">
            <v>5936.78</v>
          </cell>
          <cell r="BB110">
            <v>6012.308</v>
          </cell>
          <cell r="BC110">
            <v>6094.1260000000002</v>
          </cell>
          <cell r="BD110">
            <v>6186.152</v>
          </cell>
          <cell r="BE110">
            <v>6290.4129999999996</v>
          </cell>
          <cell r="BF110">
            <v>6406.518</v>
          </cell>
          <cell r="BG110">
            <v>6532.8710000000001</v>
          </cell>
          <cell r="BH110">
            <v>6666.6279999999997</v>
          </cell>
          <cell r="BI110">
            <v>6805.6549999999997</v>
          </cell>
          <cell r="BJ110">
            <v>6949.5659999999998</v>
          </cell>
          <cell r="BK110">
            <v>7099.0209999999997</v>
          </cell>
          <cell r="BL110">
            <v>7254.0720000000001</v>
          </cell>
          <cell r="BM110">
            <v>7414.96</v>
          </cell>
          <cell r="BN110">
            <v>7581.6959999999999</v>
          </cell>
          <cell r="BO110">
            <v>7753.9250000000002</v>
          </cell>
          <cell r="BP110">
            <v>7930.9290000000001</v>
          </cell>
          <cell r="BQ110">
            <v>8111.8940000000002</v>
          </cell>
          <cell r="BR110">
            <v>8295.84</v>
          </cell>
          <cell r="BS110">
            <v>8481.8549999999996</v>
          </cell>
        </row>
        <row r="111">
          <cell r="E111">
            <v>795</v>
          </cell>
          <cell r="F111">
            <v>1211</v>
          </cell>
          <cell r="G111">
            <v>1228.3779999999999</v>
          </cell>
          <cell r="H111">
            <v>1252.6600000000001</v>
          </cell>
          <cell r="I111">
            <v>1282.5840000000001</v>
          </cell>
          <cell r="J111">
            <v>1317.126</v>
          </cell>
          <cell r="K111">
            <v>1355.501</v>
          </cell>
          <cell r="L111">
            <v>1397.172</v>
          </cell>
          <cell r="M111">
            <v>1441.8430000000001</v>
          </cell>
          <cell r="N111">
            <v>1489.4179999999999</v>
          </cell>
          <cell r="O111">
            <v>1539.9549999999999</v>
          </cell>
          <cell r="P111">
            <v>1593.501</v>
          </cell>
          <cell r="Q111">
            <v>1649.914</v>
          </cell>
          <cell r="R111">
            <v>1708.711</v>
          </cell>
          <cell r="S111">
            <v>1769.008</v>
          </cell>
          <cell r="T111">
            <v>1829.6969999999999</v>
          </cell>
          <cell r="U111">
            <v>1890</v>
          </cell>
          <cell r="V111">
            <v>1949.425</v>
          </cell>
          <cell r="W111">
            <v>2008.1479999999999</v>
          </cell>
          <cell r="X111">
            <v>2066.8890000000001</v>
          </cell>
          <cell r="Y111">
            <v>2126.7489999999998</v>
          </cell>
          <cell r="Z111">
            <v>2188.4989999999998</v>
          </cell>
          <cell r="AA111">
            <v>2252.386</v>
          </cell>
          <cell r="AB111">
            <v>2318.0700000000002</v>
          </cell>
          <cell r="AC111">
            <v>2385.0390000000002</v>
          </cell>
          <cell r="AD111">
            <v>2452.5279999999998</v>
          </cell>
          <cell r="AE111">
            <v>2520.002</v>
          </cell>
          <cell r="AF111">
            <v>2587.4169999999999</v>
          </cell>
          <cell r="AG111">
            <v>2655.0360000000001</v>
          </cell>
          <cell r="AH111">
            <v>2723.0059999999999</v>
          </cell>
          <cell r="AI111">
            <v>2791.5749999999998</v>
          </cell>
          <cell r="AJ111">
            <v>2861</v>
          </cell>
          <cell r="AK111">
            <v>2931.3429999999998</v>
          </cell>
          <cell r="AL111">
            <v>3002.7849999999999</v>
          </cell>
          <cell r="AM111">
            <v>3075.8670000000002</v>
          </cell>
          <cell r="AN111">
            <v>3151.2620000000002</v>
          </cell>
          <cell r="AO111">
            <v>3229.4989999999998</v>
          </cell>
          <cell r="AP111">
            <v>3310.0590000000002</v>
          </cell>
          <cell r="AQ111">
            <v>3392.8229999999999</v>
          </cell>
          <cell r="AR111">
            <v>3479.0880000000002</v>
          </cell>
          <cell r="AS111">
            <v>3570.558</v>
          </cell>
          <cell r="AT111">
            <v>3668</v>
          </cell>
          <cell r="AU111">
            <v>3772.35</v>
          </cell>
          <cell r="AV111">
            <v>3881.973</v>
          </cell>
          <cell r="AW111">
            <v>3991.9169999999999</v>
          </cell>
          <cell r="AX111">
            <v>4095.5120000000002</v>
          </cell>
          <cell r="AY111">
            <v>4188.01</v>
          </cell>
          <cell r="AZ111">
            <v>4267.6899999999996</v>
          </cell>
          <cell r="BA111">
            <v>4335.991</v>
          </cell>
          <cell r="BB111">
            <v>4395.2929999999997</v>
          </cell>
          <cell r="BC111">
            <v>4449.4269999999997</v>
          </cell>
          <cell r="BD111">
            <v>4501.4189999999999</v>
          </cell>
          <cell r="BE111">
            <v>4551.7619999999997</v>
          </cell>
          <cell r="BF111">
            <v>4600.1719999999996</v>
          </cell>
          <cell r="BG111">
            <v>4648.0360000000001</v>
          </cell>
          <cell r="BH111">
            <v>4696.8760000000002</v>
          </cell>
          <cell r="BI111">
            <v>4747.8389999999999</v>
          </cell>
          <cell r="BJ111">
            <v>4801.5940000000001</v>
          </cell>
          <cell r="BK111">
            <v>4858.2349999999997</v>
          </cell>
          <cell r="BL111">
            <v>4917.5410000000002</v>
          </cell>
          <cell r="BM111">
            <v>4978.96</v>
          </cell>
          <cell r="BN111">
            <v>5041.9949999999999</v>
          </cell>
          <cell r="BO111">
            <v>5106.6719999999996</v>
          </cell>
          <cell r="BP111">
            <v>5172.9409999999998</v>
          </cell>
          <cell r="BQ111">
            <v>5240.0879999999997</v>
          </cell>
          <cell r="BR111">
            <v>5307.1880000000001</v>
          </cell>
          <cell r="BS111">
            <v>5373.5020000000004</v>
          </cell>
        </row>
        <row r="112">
          <cell r="E112">
            <v>860</v>
          </cell>
          <cell r="F112">
            <v>6945.3969999999999</v>
          </cell>
          <cell r="G112">
            <v>7104.0559999999996</v>
          </cell>
          <cell r="H112">
            <v>7265.1719999999996</v>
          </cell>
          <cell r="I112">
            <v>7428.9930000000004</v>
          </cell>
          <cell r="J112">
            <v>7596.3329999999996</v>
          </cell>
          <cell r="K112">
            <v>7768.5810000000001</v>
          </cell>
          <cell r="L112">
            <v>7947.7349999999997</v>
          </cell>
          <cell r="M112">
            <v>8136.3639999999996</v>
          </cell>
          <cell r="N112">
            <v>8337.4740000000002</v>
          </cell>
          <cell r="O112">
            <v>8554.2710000000006</v>
          </cell>
          <cell r="P112">
            <v>8789.4920000000002</v>
          </cell>
          <cell r="Q112">
            <v>9044.6710000000003</v>
          </cell>
          <cell r="R112">
            <v>9319.51</v>
          </cell>
          <cell r="S112">
            <v>9611.6010000000006</v>
          </cell>
          <cell r="T112">
            <v>9917.2019999999993</v>
          </cell>
          <cell r="U112">
            <v>10233.502</v>
          </cell>
          <cell r="V112">
            <v>10559.05</v>
          </cell>
          <cell r="W112">
            <v>10894.306</v>
          </cell>
          <cell r="X112">
            <v>11240.522999999999</v>
          </cell>
          <cell r="Y112">
            <v>11599.763000000001</v>
          </cell>
          <cell r="Z112">
            <v>11972.994000000001</v>
          </cell>
          <cell r="AA112">
            <v>12361.236999999999</v>
          </cell>
          <cell r="AB112">
            <v>12762.439</v>
          </cell>
          <cell r="AC112">
            <v>13170.848</v>
          </cell>
          <cell r="AD112">
            <v>13578.782999999999</v>
          </cell>
          <cell r="AE112">
            <v>13980.996999999999</v>
          </cell>
          <cell r="AF112">
            <v>14374.728999999999</v>
          </cell>
          <cell r="AG112">
            <v>14762.133</v>
          </cell>
          <cell r="AH112">
            <v>15148.932000000001</v>
          </cell>
          <cell r="AI112">
            <v>15543.52</v>
          </cell>
          <cell r="AJ112">
            <v>15951.898999999999</v>
          </cell>
          <cell r="AK112">
            <v>16375.135</v>
          </cell>
          <cell r="AL112">
            <v>16810.937000000002</v>
          </cell>
          <cell r="AM112">
            <v>17257.774000000001</v>
          </cell>
          <cell r="AN112">
            <v>17712.991999999998</v>
          </cell>
          <cell r="AO112">
            <v>18174.143</v>
          </cell>
          <cell r="AP112">
            <v>18640.558000000001</v>
          </cell>
          <cell r="AQ112">
            <v>19111.312000000002</v>
          </cell>
          <cell r="AR112">
            <v>19583.186000000002</v>
          </cell>
          <cell r="AS112">
            <v>20052.258999999998</v>
          </cell>
          <cell r="AT112">
            <v>20515.248</v>
          </cell>
          <cell r="AU112">
            <v>20970.307000000001</v>
          </cell>
          <cell r="AV112">
            <v>21416.399000000001</v>
          </cell>
          <cell r="AW112">
            <v>21852.080000000002</v>
          </cell>
          <cell r="AX112">
            <v>22276.14</v>
          </cell>
          <cell r="AY112">
            <v>22687.455999999998</v>
          </cell>
          <cell r="AZ112">
            <v>23087.173999999999</v>
          </cell>
          <cell r="BA112">
            <v>23474.76</v>
          </cell>
          <cell r="BB112">
            <v>23845.788</v>
          </cell>
          <cell r="BC112">
            <v>24194.543000000001</v>
          </cell>
          <cell r="BD112">
            <v>24518.222000000002</v>
          </cell>
          <cell r="BE112">
            <v>24814.629000000001</v>
          </cell>
          <cell r="BF112">
            <v>25088.682000000001</v>
          </cell>
          <cell r="BG112">
            <v>25353.546999999999</v>
          </cell>
          <cell r="BH112">
            <v>25627.007000000001</v>
          </cell>
          <cell r="BI112">
            <v>25922.239000000001</v>
          </cell>
          <cell r="BJ112">
            <v>26242.947</v>
          </cell>
          <cell r="BK112">
            <v>26586.701000000001</v>
          </cell>
          <cell r="BL112">
            <v>26952.719000000001</v>
          </cell>
          <cell r="BM112">
            <v>27338.109</v>
          </cell>
          <cell r="BN112">
            <v>27739.763999999999</v>
          </cell>
          <cell r="BO112">
            <v>28158.395</v>
          </cell>
          <cell r="BP112">
            <v>28592.451000000001</v>
          </cell>
          <cell r="BQ112">
            <v>29033.361000000001</v>
          </cell>
          <cell r="BR112">
            <v>29469.913</v>
          </cell>
          <cell r="BS112">
            <v>29893.488000000001</v>
          </cell>
        </row>
        <row r="113">
          <cell r="E113">
            <v>5501</v>
          </cell>
          <cell r="F113">
            <v>493443.28700000001</v>
          </cell>
          <cell r="G113">
            <v>501384.84299999999</v>
          </cell>
          <cell r="H113">
            <v>509785.73300000001</v>
          </cell>
          <cell r="I113">
            <v>518651.799</v>
          </cell>
          <cell r="J113">
            <v>527987.51899999997</v>
          </cell>
          <cell r="K113">
            <v>537795.96900000004</v>
          </cell>
          <cell r="L113">
            <v>548078.79500000004</v>
          </cell>
          <cell r="M113">
            <v>558836.25800000003</v>
          </cell>
          <cell r="N113">
            <v>570067.40300000005</v>
          </cell>
          <cell r="O113">
            <v>581770.35600000003</v>
          </cell>
          <cell r="P113">
            <v>593943.18400000001</v>
          </cell>
          <cell r="Q113">
            <v>606584.79</v>
          </cell>
          <cell r="R113">
            <v>619695.74100000004</v>
          </cell>
          <cell r="S113">
            <v>633278.60699999996</v>
          </cell>
          <cell r="T113">
            <v>647336.97</v>
          </cell>
          <cell r="U113">
            <v>661872.58200000005</v>
          </cell>
          <cell r="V113">
            <v>676897.58700000006</v>
          </cell>
          <cell r="W113">
            <v>692411.10400000005</v>
          </cell>
          <cell r="X113">
            <v>708387.41500000004</v>
          </cell>
          <cell r="Y113">
            <v>724791.054</v>
          </cell>
          <cell r="Z113">
            <v>741602.90099999995</v>
          </cell>
          <cell r="AA113">
            <v>758809.90099999995</v>
          </cell>
          <cell r="AB113">
            <v>776438.37699999998</v>
          </cell>
          <cell r="AC113">
            <v>794556.91700000002</v>
          </cell>
          <cell r="AD113">
            <v>813258.55</v>
          </cell>
          <cell r="AE113">
            <v>832610.85600000003</v>
          </cell>
          <cell r="AF113">
            <v>852626.80299999996</v>
          </cell>
          <cell r="AG113">
            <v>873287.77599999995</v>
          </cell>
          <cell r="AH113">
            <v>894588.59199999995</v>
          </cell>
          <cell r="AI113">
            <v>916513.85</v>
          </cell>
          <cell r="AJ113">
            <v>939043.02399999998</v>
          </cell>
          <cell r="AK113">
            <v>962157.84900000005</v>
          </cell>
          <cell r="AL113">
            <v>985832.16299999994</v>
          </cell>
          <cell r="AM113">
            <v>1010022.752</v>
          </cell>
          <cell r="AN113">
            <v>1034676.972</v>
          </cell>
          <cell r="AO113">
            <v>1059740.3370000001</v>
          </cell>
          <cell r="AP113">
            <v>1085195.814</v>
          </cell>
          <cell r="AQ113">
            <v>1110998.345</v>
          </cell>
          <cell r="AR113">
            <v>1137031.834</v>
          </cell>
          <cell r="AS113">
            <v>1163154.0660000001</v>
          </cell>
          <cell r="AT113">
            <v>1189260.5060000001</v>
          </cell>
          <cell r="AU113">
            <v>1215277.808</v>
          </cell>
          <cell r="AV113">
            <v>1241212.2120000001</v>
          </cell>
          <cell r="AW113">
            <v>1267137.379</v>
          </cell>
          <cell r="AX113">
            <v>1293172.7620000001</v>
          </cell>
          <cell r="AY113">
            <v>1319395.96</v>
          </cell>
          <cell r="AZ113">
            <v>1345811.7479999999</v>
          </cell>
          <cell r="BA113">
            <v>1372356.52</v>
          </cell>
          <cell r="BB113">
            <v>1398956.3559999999</v>
          </cell>
          <cell r="BC113">
            <v>1425509.4809999999</v>
          </cell>
          <cell r="BD113">
            <v>1451932.7609999999</v>
          </cell>
          <cell r="BE113">
            <v>1478212.1159999999</v>
          </cell>
          <cell r="BF113">
            <v>1504339.7590000001</v>
          </cell>
          <cell r="BG113">
            <v>1530248.125</v>
          </cell>
          <cell r="BH113">
            <v>1555859.4620000001</v>
          </cell>
          <cell r="BI113">
            <v>1581124.102</v>
          </cell>
          <cell r="BJ113">
            <v>1606002.361</v>
          </cell>
          <cell r="BK113">
            <v>1630518.814</v>
          </cell>
          <cell r="BL113">
            <v>1654769.753</v>
          </cell>
          <cell r="BM113">
            <v>1678893.3559999999</v>
          </cell>
          <cell r="BN113">
            <v>1702990.8219999999</v>
          </cell>
          <cell r="BO113">
            <v>1727080.534</v>
          </cell>
          <cell r="BP113">
            <v>1751133.9609999999</v>
          </cell>
          <cell r="BQ113">
            <v>1775146.547</v>
          </cell>
          <cell r="BR113">
            <v>1799100.63</v>
          </cell>
          <cell r="BS113">
            <v>1822974.074</v>
          </cell>
        </row>
        <row r="114">
          <cell r="E114">
            <v>4</v>
          </cell>
          <cell r="F114">
            <v>7752.1180000000004</v>
          </cell>
          <cell r="G114">
            <v>7839.4260000000004</v>
          </cell>
          <cell r="H114">
            <v>7934.7979999999998</v>
          </cell>
          <cell r="I114">
            <v>8038.3119999999999</v>
          </cell>
          <cell r="J114">
            <v>8150.0370000000003</v>
          </cell>
          <cell r="K114">
            <v>8270.0239999999994</v>
          </cell>
          <cell r="L114">
            <v>8398.3089999999993</v>
          </cell>
          <cell r="M114">
            <v>8534.9130000000005</v>
          </cell>
          <cell r="N114">
            <v>8679.848</v>
          </cell>
          <cell r="O114">
            <v>8833.1270000000004</v>
          </cell>
          <cell r="P114">
            <v>8994.7929999999997</v>
          </cell>
          <cell r="Q114">
            <v>9164.9449999999997</v>
          </cell>
          <cell r="R114">
            <v>9343.7720000000008</v>
          </cell>
          <cell r="S114">
            <v>9531.5550000000003</v>
          </cell>
          <cell r="T114">
            <v>9728.6450000000004</v>
          </cell>
          <cell r="U114">
            <v>9935.3580000000002</v>
          </cell>
          <cell r="V114">
            <v>10148.841</v>
          </cell>
          <cell r="W114">
            <v>10368.6</v>
          </cell>
          <cell r="X114">
            <v>10599.79</v>
          </cell>
          <cell r="Y114">
            <v>10849.51</v>
          </cell>
          <cell r="Z114">
            <v>11121.097</v>
          </cell>
          <cell r="AA114">
            <v>11412.821</v>
          </cell>
          <cell r="AB114">
            <v>11716.896000000001</v>
          </cell>
          <cell r="AC114">
            <v>12022.513999999999</v>
          </cell>
          <cell r="AD114">
            <v>12315.553</v>
          </cell>
          <cell r="AE114">
            <v>12582.954</v>
          </cell>
          <cell r="AF114">
            <v>12831.361000000001</v>
          </cell>
          <cell r="AG114">
            <v>13056.499</v>
          </cell>
          <cell r="AH114">
            <v>13222.547</v>
          </cell>
          <cell r="AI114">
            <v>13283.279</v>
          </cell>
          <cell r="AJ114">
            <v>13211.412</v>
          </cell>
          <cell r="AK114">
            <v>12996.923000000001</v>
          </cell>
          <cell r="AL114">
            <v>12667.001</v>
          </cell>
          <cell r="AM114">
            <v>12279.094999999999</v>
          </cell>
          <cell r="AN114">
            <v>11912.51</v>
          </cell>
          <cell r="AO114">
            <v>11630.498</v>
          </cell>
          <cell r="AP114">
            <v>11438.949000000001</v>
          </cell>
          <cell r="AQ114">
            <v>11337.932000000001</v>
          </cell>
          <cell r="AR114">
            <v>11375.768</v>
          </cell>
          <cell r="AS114">
            <v>11608.351000000001</v>
          </cell>
          <cell r="AT114">
            <v>12067.57</v>
          </cell>
          <cell r="AU114">
            <v>12789.374</v>
          </cell>
          <cell r="AV114">
            <v>13745.63</v>
          </cell>
          <cell r="AW114">
            <v>14824.370999999999</v>
          </cell>
          <cell r="AX114">
            <v>15869.967000000001</v>
          </cell>
          <cell r="AY114">
            <v>16772.522000000001</v>
          </cell>
          <cell r="AZ114">
            <v>17481.8</v>
          </cell>
          <cell r="BA114">
            <v>18034.13</v>
          </cell>
          <cell r="BB114">
            <v>18511.48</v>
          </cell>
          <cell r="BC114">
            <v>19038.419999999998</v>
          </cell>
          <cell r="BD114">
            <v>19701.939999999999</v>
          </cell>
          <cell r="BE114">
            <v>20531.16</v>
          </cell>
          <cell r="BF114">
            <v>21487.079000000002</v>
          </cell>
          <cell r="BG114">
            <v>22507.367999999999</v>
          </cell>
          <cell r="BH114">
            <v>23499.85</v>
          </cell>
          <cell r="BI114">
            <v>24399.948</v>
          </cell>
          <cell r="BJ114">
            <v>25183.615000000002</v>
          </cell>
          <cell r="BK114">
            <v>25877.544000000002</v>
          </cell>
          <cell r="BL114">
            <v>26528.741000000002</v>
          </cell>
          <cell r="BM114">
            <v>27207.291000000001</v>
          </cell>
          <cell r="BN114">
            <v>27962.206999999999</v>
          </cell>
          <cell r="BO114">
            <v>28809.167000000001</v>
          </cell>
          <cell r="BP114">
            <v>29726.803</v>
          </cell>
          <cell r="BQ114">
            <v>30682.5</v>
          </cell>
          <cell r="BR114">
            <v>31627.506000000001</v>
          </cell>
          <cell r="BS114">
            <v>32526.562000000002</v>
          </cell>
        </row>
        <row r="115">
          <cell r="E115">
            <v>50</v>
          </cell>
          <cell r="F115">
            <v>37894.68</v>
          </cell>
          <cell r="G115">
            <v>38706.927000000003</v>
          </cell>
          <cell r="H115">
            <v>39493.326000000001</v>
          </cell>
          <cell r="I115">
            <v>40302.266000000003</v>
          </cell>
          <cell r="J115">
            <v>41170.305999999997</v>
          </cell>
          <cell r="K115">
            <v>42122.171000000002</v>
          </cell>
          <cell r="L115">
            <v>43170.260999999999</v>
          </cell>
          <cell r="M115">
            <v>44315.144999999997</v>
          </cell>
          <cell r="N115">
            <v>45547.036999999997</v>
          </cell>
          <cell r="O115">
            <v>46848.27</v>
          </cell>
          <cell r="P115">
            <v>48200.701999999997</v>
          </cell>
          <cell r="Q115">
            <v>49593.61</v>
          </cell>
          <cell r="R115">
            <v>51030.603999999999</v>
          </cell>
          <cell r="S115">
            <v>52532.595000000001</v>
          </cell>
          <cell r="T115">
            <v>54129.39</v>
          </cell>
          <cell r="U115">
            <v>55835.02</v>
          </cell>
          <cell r="V115">
            <v>57675.529000000002</v>
          </cell>
          <cell r="W115">
            <v>59625.294000000002</v>
          </cell>
          <cell r="X115">
            <v>61585.52</v>
          </cell>
          <cell r="Y115">
            <v>63422.57</v>
          </cell>
          <cell r="Z115">
            <v>65048.701000000001</v>
          </cell>
          <cell r="AA115">
            <v>66417.45</v>
          </cell>
          <cell r="AB115">
            <v>67578.486000000004</v>
          </cell>
          <cell r="AC115">
            <v>68658.471999999994</v>
          </cell>
          <cell r="AD115">
            <v>69837.960000000006</v>
          </cell>
          <cell r="AE115">
            <v>71247.153000000006</v>
          </cell>
          <cell r="AF115">
            <v>72930.206000000006</v>
          </cell>
          <cell r="AG115">
            <v>74848.466</v>
          </cell>
          <cell r="AH115">
            <v>76948.377999999997</v>
          </cell>
          <cell r="AI115">
            <v>79141.947</v>
          </cell>
          <cell r="AJ115">
            <v>81364.176000000007</v>
          </cell>
          <cell r="AK115">
            <v>83599.581999999995</v>
          </cell>
          <cell r="AL115">
            <v>85868.228000000003</v>
          </cell>
          <cell r="AM115">
            <v>88181.210999999996</v>
          </cell>
          <cell r="AN115">
            <v>90559.54</v>
          </cell>
          <cell r="AO115">
            <v>93015.182000000001</v>
          </cell>
          <cell r="AP115">
            <v>95550.797999999995</v>
          </cell>
          <cell r="AQ115">
            <v>98149.262000000002</v>
          </cell>
          <cell r="AR115">
            <v>100779.55100000001</v>
          </cell>
          <cell r="AS115">
            <v>103400.571</v>
          </cell>
          <cell r="AT115">
            <v>105983.136</v>
          </cell>
          <cell r="AU115">
            <v>108509.679</v>
          </cell>
          <cell r="AV115">
            <v>110987.459</v>
          </cell>
          <cell r="AW115">
            <v>113442.35400000001</v>
          </cell>
          <cell r="AX115">
            <v>115913.71</v>
          </cell>
          <cell r="AY115">
            <v>118427.768</v>
          </cell>
          <cell r="AZ115">
            <v>120987.124</v>
          </cell>
          <cell r="BA115">
            <v>123574.107</v>
          </cell>
          <cell r="BB115">
            <v>126169.583</v>
          </cell>
          <cell r="BC115">
            <v>128746.273</v>
          </cell>
          <cell r="BD115">
            <v>131280.739</v>
          </cell>
          <cell r="BE115">
            <v>133776.06400000001</v>
          </cell>
          <cell r="BF115">
            <v>136228.45600000001</v>
          </cell>
          <cell r="BG115">
            <v>138600.174</v>
          </cell>
          <cell r="BH115">
            <v>140843.78599999999</v>
          </cell>
          <cell r="BI115">
            <v>142929.97899999999</v>
          </cell>
          <cell r="BJ115">
            <v>144839.23800000001</v>
          </cell>
          <cell r="BK115">
            <v>146592.68700000001</v>
          </cell>
          <cell r="BL115">
            <v>148252.473</v>
          </cell>
          <cell r="BM115">
            <v>149905.83600000001</v>
          </cell>
          <cell r="BN115">
            <v>151616.777</v>
          </cell>
          <cell r="BO115">
            <v>153405.61199999999</v>
          </cell>
          <cell r="BP115">
            <v>155257.38699999999</v>
          </cell>
          <cell r="BQ115">
            <v>157157.394</v>
          </cell>
          <cell r="BR115">
            <v>159077.51300000001</v>
          </cell>
          <cell r="BS115">
            <v>160995.64199999999</v>
          </cell>
        </row>
        <row r="116">
          <cell r="E116">
            <v>64</v>
          </cell>
          <cell r="F116">
            <v>176.79499999999999</v>
          </cell>
          <cell r="G116">
            <v>181.489</v>
          </cell>
          <cell r="H116">
            <v>186.16</v>
          </cell>
          <cell r="I116">
            <v>190.81</v>
          </cell>
          <cell r="J116">
            <v>195.44900000000001</v>
          </cell>
          <cell r="K116">
            <v>200.089</v>
          </cell>
          <cell r="L116">
            <v>204.74799999999999</v>
          </cell>
          <cell r="M116">
            <v>209.44900000000001</v>
          </cell>
          <cell r="N116">
            <v>214.221</v>
          </cell>
          <cell r="O116">
            <v>219.095</v>
          </cell>
          <cell r="P116">
            <v>224.108</v>
          </cell>
          <cell r="Q116">
            <v>229.297</v>
          </cell>
          <cell r="R116">
            <v>234.703</v>
          </cell>
          <cell r="S116">
            <v>240.364</v>
          </cell>
          <cell r="T116">
            <v>246.32400000000001</v>
          </cell>
          <cell r="U116">
            <v>252.62899999999999</v>
          </cell>
          <cell r="V116">
            <v>259.27</v>
          </cell>
          <cell r="W116">
            <v>266.29300000000001</v>
          </cell>
          <cell r="X116">
            <v>273.86799999999999</v>
          </cell>
          <cell r="Y116">
            <v>282.20999999999998</v>
          </cell>
          <cell r="Z116">
            <v>291.45699999999999</v>
          </cell>
          <cell r="AA116">
            <v>301.65300000000002</v>
          </cell>
          <cell r="AB116">
            <v>312.71199999999999</v>
          </cell>
          <cell r="AC116">
            <v>324.46499999999997</v>
          </cell>
          <cell r="AD116">
            <v>336.67700000000002</v>
          </cell>
          <cell r="AE116">
            <v>349.14600000000002</v>
          </cell>
          <cell r="AF116">
            <v>361.86200000000002</v>
          </cell>
          <cell r="AG116">
            <v>374.80099999999999</v>
          </cell>
          <cell r="AH116">
            <v>387.73099999999999</v>
          </cell>
          <cell r="AI116">
            <v>400.37799999999999</v>
          </cell>
          <cell r="AJ116">
            <v>412.56099999999998</v>
          </cell>
          <cell r="AK116">
            <v>423.887</v>
          </cell>
          <cell r="AL116">
            <v>434.38499999999999</v>
          </cell>
          <cell r="AM116">
            <v>444.78899999999999</v>
          </cell>
          <cell r="AN116">
            <v>456.13499999999999</v>
          </cell>
          <cell r="AO116">
            <v>469.01</v>
          </cell>
          <cell r="AP116">
            <v>484.15100000000001</v>
          </cell>
          <cell r="AQ116">
            <v>500.952</v>
          </cell>
          <cell r="AR116">
            <v>517.06799999999998</v>
          </cell>
          <cell r="AS116">
            <v>529.28399999999999</v>
          </cell>
          <cell r="AT116">
            <v>535.505</v>
          </cell>
          <cell r="AU116">
            <v>534.678</v>
          </cell>
          <cell r="AV116">
            <v>528.08500000000004</v>
          </cell>
          <cell r="AW116">
            <v>518.84699999999998</v>
          </cell>
          <cell r="AX116">
            <v>511.38200000000001</v>
          </cell>
          <cell r="AY116">
            <v>508.89699999999999</v>
          </cell>
          <cell r="AZ116">
            <v>512.37699999999995</v>
          </cell>
          <cell r="BA116">
            <v>520.91700000000003</v>
          </cell>
          <cell r="BB116">
            <v>533.50599999999997</v>
          </cell>
          <cell r="BC116">
            <v>548.38699999999994</v>
          </cell>
          <cell r="BD116">
            <v>564.18700000000001</v>
          </cell>
          <cell r="BE116">
            <v>580.78399999999999</v>
          </cell>
          <cell r="BF116">
            <v>598.42100000000005</v>
          </cell>
          <cell r="BG116">
            <v>616.47400000000005</v>
          </cell>
          <cell r="BH116">
            <v>634.23500000000001</v>
          </cell>
          <cell r="BI116">
            <v>651.16300000000001</v>
          </cell>
          <cell r="BJ116">
            <v>666.92</v>
          </cell>
          <cell r="BK116">
            <v>681.471</v>
          </cell>
          <cell r="BL116">
            <v>694.99</v>
          </cell>
          <cell r="BM116">
            <v>707.83</v>
          </cell>
          <cell r="BN116">
            <v>720.24599999999998</v>
          </cell>
          <cell r="BO116">
            <v>732.24599999999998</v>
          </cell>
          <cell r="BP116">
            <v>743.71100000000001</v>
          </cell>
          <cell r="BQ116">
            <v>754.63699999999994</v>
          </cell>
          <cell r="BR116">
            <v>765.00800000000004</v>
          </cell>
          <cell r="BS116">
            <v>774.83</v>
          </cell>
        </row>
        <row r="117">
          <cell r="E117">
            <v>356</v>
          </cell>
          <cell r="F117">
            <v>376325.20500000002</v>
          </cell>
          <cell r="G117">
            <v>382231.04200000002</v>
          </cell>
          <cell r="H117">
            <v>388515.75799999997</v>
          </cell>
          <cell r="I117">
            <v>395137.696</v>
          </cell>
          <cell r="J117">
            <v>402065.91499999998</v>
          </cell>
          <cell r="K117">
            <v>409280.196</v>
          </cell>
          <cell r="L117">
            <v>416771.50199999998</v>
          </cell>
          <cell r="M117">
            <v>424541.51299999998</v>
          </cell>
          <cell r="N117">
            <v>432601.23599999998</v>
          </cell>
          <cell r="O117">
            <v>440968.67700000003</v>
          </cell>
          <cell r="P117">
            <v>449661.87400000001</v>
          </cell>
          <cell r="Q117">
            <v>458691.45699999999</v>
          </cell>
          <cell r="R117">
            <v>468054.14500000002</v>
          </cell>
          <cell r="S117">
            <v>477729.95799999998</v>
          </cell>
          <cell r="T117">
            <v>487690.114</v>
          </cell>
          <cell r="U117">
            <v>497920.27</v>
          </cell>
          <cell r="V117">
            <v>508402.908</v>
          </cell>
          <cell r="W117">
            <v>519162.06900000002</v>
          </cell>
          <cell r="X117">
            <v>530274.72900000005</v>
          </cell>
          <cell r="Y117">
            <v>541844.848</v>
          </cell>
          <cell r="Z117">
            <v>553943.22600000002</v>
          </cell>
          <cell r="AA117">
            <v>566605.402</v>
          </cell>
          <cell r="AB117">
            <v>579800.63199999998</v>
          </cell>
          <cell r="AC117">
            <v>593451.88899999997</v>
          </cell>
          <cell r="AD117">
            <v>607446.51899999997</v>
          </cell>
          <cell r="AE117">
            <v>621703.64099999995</v>
          </cell>
          <cell r="AF117">
            <v>636182.81000000006</v>
          </cell>
          <cell r="AG117">
            <v>650907.55900000001</v>
          </cell>
          <cell r="AH117">
            <v>665936.43500000006</v>
          </cell>
          <cell r="AI117">
            <v>681358.55299999996</v>
          </cell>
          <cell r="AJ117">
            <v>697229.745</v>
          </cell>
          <cell r="AK117">
            <v>713561.40599999996</v>
          </cell>
          <cell r="AL117">
            <v>730303.46100000001</v>
          </cell>
          <cell r="AM117">
            <v>747374.85600000003</v>
          </cell>
          <cell r="AN117">
            <v>764664.27800000005</v>
          </cell>
          <cell r="AO117">
            <v>782085.12699999998</v>
          </cell>
          <cell r="AP117">
            <v>799607.23499999999</v>
          </cell>
          <cell r="AQ117">
            <v>817232.24100000004</v>
          </cell>
          <cell r="AR117">
            <v>834944.397</v>
          </cell>
          <cell r="AS117">
            <v>852736.16</v>
          </cell>
          <cell r="AT117">
            <v>870601.77599999995</v>
          </cell>
          <cell r="AU117">
            <v>888513.86899999995</v>
          </cell>
          <cell r="AV117">
            <v>906461.35800000001</v>
          </cell>
          <cell r="AW117">
            <v>924475.63300000003</v>
          </cell>
          <cell r="AX117">
            <v>942604.21100000001</v>
          </cell>
          <cell r="AY117">
            <v>960874.98199999996</v>
          </cell>
          <cell r="AZ117">
            <v>979290.43200000003</v>
          </cell>
          <cell r="BA117">
            <v>997817.25</v>
          </cell>
          <cell r="BB117">
            <v>1016402.907</v>
          </cell>
          <cell r="BC117">
            <v>1034976.626</v>
          </cell>
          <cell r="BD117">
            <v>1053481.0719999999</v>
          </cell>
          <cell r="BE117">
            <v>1071888.19</v>
          </cell>
          <cell r="BF117">
            <v>1090189.358</v>
          </cell>
          <cell r="BG117">
            <v>1108369.577</v>
          </cell>
          <cell r="BH117">
            <v>1126419.321</v>
          </cell>
          <cell r="BI117">
            <v>1144326.2930000001</v>
          </cell>
          <cell r="BJ117">
            <v>1162088.3049999999</v>
          </cell>
          <cell r="BK117">
            <v>1179685.6310000001</v>
          </cell>
          <cell r="BL117">
            <v>1197070.1089999999</v>
          </cell>
          <cell r="BM117">
            <v>1214182.182</v>
          </cell>
          <cell r="BN117">
            <v>1230984.504</v>
          </cell>
          <cell r="BO117">
            <v>1247446.0109999999</v>
          </cell>
          <cell r="BP117">
            <v>1263589.639</v>
          </cell>
          <cell r="BQ117">
            <v>1279498.8740000001</v>
          </cell>
          <cell r="BR117">
            <v>1295291.5430000001</v>
          </cell>
          <cell r="BS117">
            <v>1311050.527</v>
          </cell>
        </row>
        <row r="118">
          <cell r="E118">
            <v>364</v>
          </cell>
          <cell r="F118">
            <v>17119.262999999999</v>
          </cell>
          <cell r="G118">
            <v>17516.578000000001</v>
          </cell>
          <cell r="H118">
            <v>17933.356</v>
          </cell>
          <cell r="I118">
            <v>18368.896000000001</v>
          </cell>
          <cell r="J118">
            <v>18822.605</v>
          </cell>
          <cell r="K118">
            <v>19293.998</v>
          </cell>
          <cell r="L118">
            <v>19782.699000000001</v>
          </cell>
          <cell r="M118">
            <v>20288.439999999999</v>
          </cell>
          <cell r="N118">
            <v>20811.062000000002</v>
          </cell>
          <cell r="O118">
            <v>21350.524000000001</v>
          </cell>
          <cell r="P118">
            <v>21906.904999999999</v>
          </cell>
          <cell r="Q118">
            <v>22480.42</v>
          </cell>
          <cell r="R118">
            <v>23071.425999999999</v>
          </cell>
          <cell r="S118">
            <v>23680.433000000001</v>
          </cell>
          <cell r="T118">
            <v>24308.080000000002</v>
          </cell>
          <cell r="U118">
            <v>24955.116000000002</v>
          </cell>
          <cell r="V118">
            <v>25624.65</v>
          </cell>
          <cell r="W118">
            <v>26318.116000000002</v>
          </cell>
          <cell r="X118">
            <v>27032.944</v>
          </cell>
          <cell r="Y118">
            <v>27765.239000000001</v>
          </cell>
          <cell r="Z118">
            <v>28514.010999999999</v>
          </cell>
          <cell r="AA118">
            <v>29281.13</v>
          </cell>
          <cell r="AB118">
            <v>30073.845000000001</v>
          </cell>
          <cell r="AC118">
            <v>30903.564999999999</v>
          </cell>
          <cell r="AD118">
            <v>31784.896000000001</v>
          </cell>
          <cell r="AE118">
            <v>32730.555</v>
          </cell>
          <cell r="AF118">
            <v>33739.231</v>
          </cell>
          <cell r="AG118">
            <v>34814.231</v>
          </cell>
          <cell r="AH118">
            <v>35977.589</v>
          </cell>
          <cell r="AI118">
            <v>37256.771000000001</v>
          </cell>
          <cell r="AJ118">
            <v>38668.222000000002</v>
          </cell>
          <cell r="AK118">
            <v>40209.076999999997</v>
          </cell>
          <cell r="AL118">
            <v>41862.373</v>
          </cell>
          <cell r="AM118">
            <v>43610.506000000001</v>
          </cell>
          <cell r="AN118">
            <v>45429.019</v>
          </cell>
          <cell r="AO118">
            <v>47290.792999999998</v>
          </cell>
          <cell r="AP118">
            <v>49205.576999999997</v>
          </cell>
          <cell r="AQ118">
            <v>51152.122000000003</v>
          </cell>
          <cell r="AR118">
            <v>53035.938999999998</v>
          </cell>
          <cell r="AS118">
            <v>54735.239000000001</v>
          </cell>
          <cell r="AT118">
            <v>56169.196000000004</v>
          </cell>
          <cell r="AU118">
            <v>57288.038999999997</v>
          </cell>
          <cell r="AV118">
            <v>58130.099000000002</v>
          </cell>
          <cell r="AW118">
            <v>58811.858</v>
          </cell>
          <cell r="AX118">
            <v>59501.292000000001</v>
          </cell>
          <cell r="AY118">
            <v>60318.631999999998</v>
          </cell>
          <cell r="AZ118">
            <v>61306.631999999998</v>
          </cell>
          <cell r="BA118">
            <v>62426.086000000003</v>
          </cell>
          <cell r="BB118">
            <v>63616.065000000002</v>
          </cell>
          <cell r="BC118">
            <v>64780.362000000001</v>
          </cell>
          <cell r="BD118">
            <v>65850.062000000005</v>
          </cell>
          <cell r="BE118">
            <v>66812.736000000004</v>
          </cell>
          <cell r="BF118">
            <v>67696.676999999996</v>
          </cell>
          <cell r="BG118">
            <v>68522.073999999993</v>
          </cell>
          <cell r="BH118">
            <v>69321.952999999994</v>
          </cell>
          <cell r="BI118">
            <v>70122.115000000005</v>
          </cell>
          <cell r="BJ118">
            <v>70923.164000000004</v>
          </cell>
          <cell r="BK118">
            <v>71720.858999999997</v>
          </cell>
          <cell r="BL118">
            <v>72530.692999999999</v>
          </cell>
          <cell r="BM118">
            <v>73370.982000000004</v>
          </cell>
          <cell r="BN118">
            <v>74253.373000000007</v>
          </cell>
          <cell r="BO118">
            <v>75184.322</v>
          </cell>
          <cell r="BP118">
            <v>76156.975000000006</v>
          </cell>
          <cell r="BQ118">
            <v>77152.445000000007</v>
          </cell>
          <cell r="BR118">
            <v>78143.644</v>
          </cell>
          <cell r="BS118">
            <v>79109.271999999997</v>
          </cell>
        </row>
        <row r="119">
          <cell r="E119">
            <v>462</v>
          </cell>
          <cell r="F119">
            <v>73.715000000000003</v>
          </cell>
          <cell r="G119">
            <v>74.224000000000004</v>
          </cell>
          <cell r="H119">
            <v>75.188999999999993</v>
          </cell>
          <cell r="I119">
            <v>76.483000000000004</v>
          </cell>
          <cell r="J119">
            <v>78.013000000000005</v>
          </cell>
          <cell r="K119">
            <v>79.703999999999994</v>
          </cell>
          <cell r="L119">
            <v>81.513000000000005</v>
          </cell>
          <cell r="M119">
            <v>83.423000000000002</v>
          </cell>
          <cell r="N119">
            <v>85.436999999999998</v>
          </cell>
          <cell r="O119">
            <v>87.58</v>
          </cell>
          <cell r="P119">
            <v>89.875</v>
          </cell>
          <cell r="Q119">
            <v>92.326999999999998</v>
          </cell>
          <cell r="R119">
            <v>94.909000000000006</v>
          </cell>
          <cell r="S119">
            <v>97.555999999999997</v>
          </cell>
          <cell r="T119">
            <v>100.17700000000001</v>
          </cell>
          <cell r="U119">
            <v>102.723</v>
          </cell>
          <cell r="V119">
            <v>105.145</v>
          </cell>
          <cell r="W119">
            <v>107.488</v>
          </cell>
          <cell r="X119">
            <v>109.901</v>
          </cell>
          <cell r="Y119">
            <v>112.59099999999999</v>
          </cell>
          <cell r="Z119">
            <v>115.703</v>
          </cell>
          <cell r="AA119">
            <v>119.315</v>
          </cell>
          <cell r="AB119">
            <v>123.372</v>
          </cell>
          <cell r="AC119">
            <v>127.717</v>
          </cell>
          <cell r="AD119">
            <v>132.12200000000001</v>
          </cell>
          <cell r="AE119">
            <v>136.434</v>
          </cell>
          <cell r="AF119">
            <v>140.58199999999999</v>
          </cell>
          <cell r="AG119">
            <v>144.64500000000001</v>
          </cell>
          <cell r="AH119">
            <v>148.797</v>
          </cell>
          <cell r="AI119">
            <v>153.285</v>
          </cell>
          <cell r="AJ119">
            <v>158.28200000000001</v>
          </cell>
          <cell r="AK119">
            <v>163.834</v>
          </cell>
          <cell r="AL119">
            <v>169.86099999999999</v>
          </cell>
          <cell r="AM119">
            <v>176.25800000000001</v>
          </cell>
          <cell r="AN119">
            <v>182.864</v>
          </cell>
          <cell r="AO119">
            <v>189.55099999999999</v>
          </cell>
          <cell r="AP119">
            <v>196.28299999999999</v>
          </cell>
          <cell r="AQ119">
            <v>203.059</v>
          </cell>
          <cell r="AR119">
            <v>209.83199999999999</v>
          </cell>
          <cell r="AS119">
            <v>216.553</v>
          </cell>
          <cell r="AT119">
            <v>223.179</v>
          </cell>
          <cell r="AU119">
            <v>229.68600000000001</v>
          </cell>
          <cell r="AV119">
            <v>236.053</v>
          </cell>
          <cell r="AW119">
            <v>242.25200000000001</v>
          </cell>
          <cell r="AX119">
            <v>248.26300000000001</v>
          </cell>
          <cell r="AY119">
            <v>254.07</v>
          </cell>
          <cell r="AZ119">
            <v>259.66800000000001</v>
          </cell>
          <cell r="BA119">
            <v>265.06700000000001</v>
          </cell>
          <cell r="BB119">
            <v>270.29199999999997</v>
          </cell>
          <cell r="BC119">
            <v>275.38499999999999</v>
          </cell>
          <cell r="BD119">
            <v>280.38400000000001</v>
          </cell>
          <cell r="BE119">
            <v>285.298</v>
          </cell>
          <cell r="BF119">
            <v>290.14699999999999</v>
          </cell>
          <cell r="BG119">
            <v>294.99599999999998</v>
          </cell>
          <cell r="BH119">
            <v>299.91699999999997</v>
          </cell>
          <cell r="BI119">
            <v>304.96800000000002</v>
          </cell>
          <cell r="BJ119">
            <v>310.16800000000001</v>
          </cell>
          <cell r="BK119">
            <v>315.51499999999999</v>
          </cell>
          <cell r="BL119">
            <v>321.02600000000001</v>
          </cell>
          <cell r="BM119">
            <v>326.71300000000002</v>
          </cell>
          <cell r="BN119">
            <v>332.57499999999999</v>
          </cell>
          <cell r="BO119">
            <v>338.61799999999999</v>
          </cell>
          <cell r="BP119">
            <v>344.81700000000001</v>
          </cell>
          <cell r="BQ119">
            <v>351.11099999999999</v>
          </cell>
          <cell r="BR119">
            <v>357.41500000000002</v>
          </cell>
          <cell r="BS119">
            <v>363.65699999999998</v>
          </cell>
        </row>
        <row r="120">
          <cell r="E120">
            <v>524</v>
          </cell>
          <cell r="F120">
            <v>8483.3209999999999</v>
          </cell>
          <cell r="G120">
            <v>8657.5769999999993</v>
          </cell>
          <cell r="H120">
            <v>8823.0220000000008</v>
          </cell>
          <cell r="I120">
            <v>8982.2160000000003</v>
          </cell>
          <cell r="J120">
            <v>9137.3359999999993</v>
          </cell>
          <cell r="K120">
            <v>9290.1740000000009</v>
          </cell>
          <cell r="L120">
            <v>9442.1229999999996</v>
          </cell>
          <cell r="M120">
            <v>9594.1919999999991</v>
          </cell>
          <cell r="N120">
            <v>9747.06</v>
          </cell>
          <cell r="O120">
            <v>9901.1610000000001</v>
          </cell>
          <cell r="P120">
            <v>10056.945</v>
          </cell>
          <cell r="Q120">
            <v>10215.153</v>
          </cell>
          <cell r="R120">
            <v>10377.061</v>
          </cell>
          <cell r="S120">
            <v>10544.585999999999</v>
          </cell>
          <cell r="T120">
            <v>10719.987999999999</v>
          </cell>
          <cell r="U120">
            <v>10905.005999999999</v>
          </cell>
          <cell r="V120">
            <v>11100.672</v>
          </cell>
          <cell r="W120">
            <v>11307.138999999999</v>
          </cell>
          <cell r="X120">
            <v>11524.132</v>
          </cell>
          <cell r="Y120">
            <v>11750.914000000001</v>
          </cell>
          <cell r="Z120">
            <v>11986.974</v>
          </cell>
          <cell r="AA120">
            <v>12232.454</v>
          </cell>
          <cell r="AB120">
            <v>12487.785</v>
          </cell>
          <cell r="AC120">
            <v>12753.028</v>
          </cell>
          <cell r="AD120">
            <v>13028.248</v>
          </cell>
          <cell r="AE120">
            <v>13313.486999999999</v>
          </cell>
          <cell r="AF120">
            <v>13608.67</v>
          </cell>
          <cell r="AG120">
            <v>13913.775</v>
          </cell>
          <cell r="AH120">
            <v>14228.941000000001</v>
          </cell>
          <cell r="AI120">
            <v>14554.356</v>
          </cell>
          <cell r="AJ120">
            <v>14890.08</v>
          </cell>
          <cell r="AK120">
            <v>15237.302</v>
          </cell>
          <cell r="AL120">
            <v>15596.012000000001</v>
          </cell>
          <cell r="AM120">
            <v>15963.745999999999</v>
          </cell>
          <cell r="AN120">
            <v>16337.117</v>
          </cell>
          <cell r="AO120">
            <v>16714.334999999999</v>
          </cell>
          <cell r="AP120">
            <v>17091.958999999999</v>
          </cell>
          <cell r="AQ120">
            <v>17472.137999999999</v>
          </cell>
          <cell r="AR120">
            <v>17865.238000000001</v>
          </cell>
          <cell r="AS120">
            <v>18285.434000000001</v>
          </cell>
          <cell r="AT120">
            <v>18741.687999999998</v>
          </cell>
          <cell r="AU120">
            <v>19237.322</v>
          </cell>
          <cell r="AV120">
            <v>19765.57</v>
          </cell>
          <cell r="AW120">
            <v>20312.687000000002</v>
          </cell>
          <cell r="AX120">
            <v>20859.420999999998</v>
          </cell>
          <cell r="AY120">
            <v>21390.904999999999</v>
          </cell>
          <cell r="AZ120">
            <v>21902.534</v>
          </cell>
          <cell r="BA120">
            <v>22395.246999999999</v>
          </cell>
          <cell r="BB120">
            <v>22866.495999999999</v>
          </cell>
          <cell r="BC120">
            <v>23315.053</v>
          </cell>
          <cell r="BD120">
            <v>23740.145</v>
          </cell>
          <cell r="BE120">
            <v>24140.940999999999</v>
          </cell>
          <cell r="BF120">
            <v>24516.969000000001</v>
          </cell>
          <cell r="BG120">
            <v>24868.9</v>
          </cell>
          <cell r="BH120">
            <v>25198.13</v>
          </cell>
          <cell r="BI120">
            <v>25506.847000000002</v>
          </cell>
          <cell r="BJ120">
            <v>25794.344000000001</v>
          </cell>
          <cell r="BK120">
            <v>26063.618999999999</v>
          </cell>
          <cell r="BL120">
            <v>26325.183000000001</v>
          </cell>
          <cell r="BM120">
            <v>26592.666000000001</v>
          </cell>
          <cell r="BN120">
            <v>26875.91</v>
          </cell>
          <cell r="BO120">
            <v>27179.237000000001</v>
          </cell>
          <cell r="BP120">
            <v>27500.514999999999</v>
          </cell>
          <cell r="BQ120">
            <v>27834.981</v>
          </cell>
          <cell r="BR120">
            <v>28174.723999999998</v>
          </cell>
          <cell r="BS120">
            <v>28513.7</v>
          </cell>
        </row>
        <row r="121">
          <cell r="E121">
            <v>586</v>
          </cell>
          <cell r="F121">
            <v>37542.379999999997</v>
          </cell>
          <cell r="G121">
            <v>37976.074999999997</v>
          </cell>
          <cell r="H121">
            <v>38485.341</v>
          </cell>
          <cell r="I121">
            <v>39065.870999999999</v>
          </cell>
          <cell r="J121">
            <v>39714.074000000001</v>
          </cell>
          <cell r="K121">
            <v>40427.072</v>
          </cell>
          <cell r="L121">
            <v>41202.728999999999</v>
          </cell>
          <cell r="M121">
            <v>42039.623</v>
          </cell>
          <cell r="N121">
            <v>42936.961000000003</v>
          </cell>
          <cell r="O121">
            <v>43894.436999999998</v>
          </cell>
          <cell r="P121">
            <v>44911.81</v>
          </cell>
          <cell r="Q121">
            <v>45988.447</v>
          </cell>
          <cell r="R121">
            <v>47122.930999999997</v>
          </cell>
          <cell r="S121">
            <v>48312.887999999999</v>
          </cell>
          <cell r="T121">
            <v>49555.472000000002</v>
          </cell>
          <cell r="U121">
            <v>50848.775000000001</v>
          </cell>
          <cell r="V121">
            <v>52194.629000000001</v>
          </cell>
          <cell r="W121">
            <v>53594.445</v>
          </cell>
          <cell r="X121">
            <v>55045.896999999997</v>
          </cell>
          <cell r="Y121">
            <v>56545.923999999999</v>
          </cell>
          <cell r="Z121">
            <v>58094.239000000001</v>
          </cell>
          <cell r="AA121">
            <v>59690.466999999997</v>
          </cell>
          <cell r="AB121">
            <v>61341.254999999997</v>
          </cell>
          <cell r="AC121">
            <v>63062.203999999998</v>
          </cell>
          <cell r="AD121">
            <v>64873.705000000002</v>
          </cell>
          <cell r="AE121">
            <v>66791.495999999999</v>
          </cell>
          <cell r="AF121">
            <v>68818.471000000005</v>
          </cell>
          <cell r="AG121">
            <v>70953.777000000002</v>
          </cell>
          <cell r="AH121">
            <v>73204.087</v>
          </cell>
          <cell r="AI121">
            <v>75575.981</v>
          </cell>
          <cell r="AJ121">
            <v>78071.983999999997</v>
          </cell>
          <cell r="AK121">
            <v>80691.701000000001</v>
          </cell>
          <cell r="AL121">
            <v>83427.521999999997</v>
          </cell>
          <cell r="AM121">
            <v>86264.620999999999</v>
          </cell>
          <cell r="AN121">
            <v>89183.159</v>
          </cell>
          <cell r="AO121">
            <v>92165.065000000002</v>
          </cell>
          <cell r="AP121">
            <v>95207.133000000002</v>
          </cell>
          <cell r="AQ121">
            <v>98301.646999999997</v>
          </cell>
          <cell r="AR121">
            <v>101420.791</v>
          </cell>
          <cell r="AS121">
            <v>104530.689</v>
          </cell>
          <cell r="AT121">
            <v>107607.639</v>
          </cell>
          <cell r="AU121">
            <v>110634.399</v>
          </cell>
          <cell r="AV121">
            <v>113616.16499999999</v>
          </cell>
          <cell r="AW121">
            <v>116579.605</v>
          </cell>
          <cell r="AX121">
            <v>119564.925</v>
          </cell>
          <cell r="AY121">
            <v>122599.749</v>
          </cell>
          <cell r="AZ121">
            <v>125697.651</v>
          </cell>
          <cell r="BA121">
            <v>128845.692</v>
          </cell>
          <cell r="BB121">
            <v>132013.68</v>
          </cell>
          <cell r="BC121">
            <v>135158.13200000001</v>
          </cell>
          <cell r="BD121">
            <v>138250.48699999999</v>
          </cell>
          <cell r="BE121">
            <v>141282.07699999999</v>
          </cell>
          <cell r="BF121">
            <v>144271.58600000001</v>
          </cell>
          <cell r="BG121">
            <v>147251.53</v>
          </cell>
          <cell r="BH121">
            <v>150267.989</v>
          </cell>
          <cell r="BI121">
            <v>153356.383</v>
          </cell>
          <cell r="BJ121">
            <v>156524.18900000001</v>
          </cell>
          <cell r="BK121">
            <v>159767.67199999999</v>
          </cell>
          <cell r="BL121">
            <v>163096.98499999999</v>
          </cell>
          <cell r="BM121">
            <v>166520.98300000001</v>
          </cell>
          <cell r="BN121">
            <v>170043.91800000001</v>
          </cell>
          <cell r="BO121">
            <v>173669.64799999999</v>
          </cell>
          <cell r="BP121">
            <v>177392.25200000001</v>
          </cell>
          <cell r="BQ121">
            <v>181192.64600000001</v>
          </cell>
          <cell r="BR121">
            <v>185044.28599999999</v>
          </cell>
          <cell r="BS121">
            <v>188924.87400000001</v>
          </cell>
        </row>
        <row r="122">
          <cell r="E122">
            <v>144</v>
          </cell>
          <cell r="F122">
            <v>8075.81</v>
          </cell>
          <cell r="G122">
            <v>8201.5049999999992</v>
          </cell>
          <cell r="H122">
            <v>8338.7829999999994</v>
          </cell>
          <cell r="I122">
            <v>8489.2489999999998</v>
          </cell>
          <cell r="J122">
            <v>8653.7839999999997</v>
          </cell>
          <cell r="K122">
            <v>8832.5409999999993</v>
          </cell>
          <cell r="L122">
            <v>9024.9110000000001</v>
          </cell>
          <cell r="M122">
            <v>9229.56</v>
          </cell>
          <cell r="N122">
            <v>9444.5409999999993</v>
          </cell>
          <cell r="O122">
            <v>9667.4850000000006</v>
          </cell>
          <cell r="P122">
            <v>9896.1720000000005</v>
          </cell>
          <cell r="Q122">
            <v>10129.134</v>
          </cell>
          <cell r="R122">
            <v>10366.19</v>
          </cell>
          <cell r="S122">
            <v>10608.672</v>
          </cell>
          <cell r="T122">
            <v>10858.78</v>
          </cell>
          <cell r="U122">
            <v>11117.684999999999</v>
          </cell>
          <cell r="V122">
            <v>11385.942999999999</v>
          </cell>
          <cell r="W122">
            <v>11661.66</v>
          </cell>
          <cell r="X122">
            <v>11940.634</v>
          </cell>
          <cell r="Y122">
            <v>12217.248</v>
          </cell>
          <cell r="Z122">
            <v>12487.493</v>
          </cell>
          <cell r="AA122">
            <v>12749.209000000001</v>
          </cell>
          <cell r="AB122">
            <v>13003.394</v>
          </cell>
          <cell r="AC122">
            <v>13253.063</v>
          </cell>
          <cell r="AD122">
            <v>13502.87</v>
          </cell>
          <cell r="AE122">
            <v>13755.99</v>
          </cell>
          <cell r="AF122">
            <v>14013.61</v>
          </cell>
          <cell r="AG122">
            <v>14274.022999999999</v>
          </cell>
          <cell r="AH122">
            <v>14534.087</v>
          </cell>
          <cell r="AI122">
            <v>14789.3</v>
          </cell>
          <cell r="AJ122">
            <v>15036.562</v>
          </cell>
          <cell r="AK122">
            <v>15274.137000000001</v>
          </cell>
          <cell r="AL122">
            <v>15503.32</v>
          </cell>
          <cell r="AM122">
            <v>15727.67</v>
          </cell>
          <cell r="AN122">
            <v>15952.35</v>
          </cell>
          <cell r="AO122">
            <v>16180.776</v>
          </cell>
          <cell r="AP122">
            <v>16413.728999999999</v>
          </cell>
          <cell r="AQ122">
            <v>16648.991999999998</v>
          </cell>
          <cell r="AR122">
            <v>16883.25</v>
          </cell>
          <cell r="AS122">
            <v>17111.785</v>
          </cell>
          <cell r="AT122">
            <v>17330.816999999999</v>
          </cell>
          <cell r="AU122">
            <v>17540.761999999999</v>
          </cell>
          <cell r="AV122">
            <v>17741.793000000001</v>
          </cell>
          <cell r="AW122">
            <v>17929.772000000001</v>
          </cell>
          <cell r="AX122">
            <v>18099.591</v>
          </cell>
          <cell r="AY122">
            <v>18248.435000000001</v>
          </cell>
          <cell r="AZ122">
            <v>18373.53</v>
          </cell>
          <cell r="BA122">
            <v>18478.024000000001</v>
          </cell>
          <cell r="BB122">
            <v>18572.347000000002</v>
          </cell>
          <cell r="BC122">
            <v>18670.843000000001</v>
          </cell>
          <cell r="BD122">
            <v>18783.744999999999</v>
          </cell>
          <cell r="BE122">
            <v>18914.866000000002</v>
          </cell>
          <cell r="BF122">
            <v>19061.065999999999</v>
          </cell>
          <cell r="BG122">
            <v>19217.031999999999</v>
          </cell>
          <cell r="BH122">
            <v>19374.280999999999</v>
          </cell>
          <cell r="BI122">
            <v>19526.405999999999</v>
          </cell>
          <cell r="BJ122">
            <v>19672.418000000001</v>
          </cell>
          <cell r="BK122">
            <v>19813.815999999999</v>
          </cell>
          <cell r="BL122">
            <v>19949.553</v>
          </cell>
          <cell r="BM122">
            <v>20078.873</v>
          </cell>
          <cell r="BN122">
            <v>20201.312000000002</v>
          </cell>
          <cell r="BO122">
            <v>20315.672999999999</v>
          </cell>
          <cell r="BP122">
            <v>20421.862000000001</v>
          </cell>
          <cell r="BQ122">
            <v>20521.958999999999</v>
          </cell>
          <cell r="BR122">
            <v>20618.991000000002</v>
          </cell>
          <cell r="BS122">
            <v>20715.009999999998</v>
          </cell>
        </row>
        <row r="123">
          <cell r="E123">
            <v>920</v>
          </cell>
          <cell r="F123">
            <v>164900.34400000001</v>
          </cell>
          <cell r="G123">
            <v>168675.69200000001</v>
          </cell>
          <cell r="H123">
            <v>172725.86199999999</v>
          </cell>
          <cell r="I123">
            <v>177041.46599999999</v>
          </cell>
          <cell r="J123">
            <v>181612.83100000001</v>
          </cell>
          <cell r="K123">
            <v>186430.033</v>
          </cell>
          <cell r="L123">
            <v>191482.837</v>
          </cell>
          <cell r="M123">
            <v>196760.739</v>
          </cell>
          <cell r="N123">
            <v>202253.04300000001</v>
          </cell>
          <cell r="O123">
            <v>207948.99100000001</v>
          </cell>
          <cell r="P123">
            <v>213838.117</v>
          </cell>
          <cell r="Q123">
            <v>219910.677</v>
          </cell>
          <cell r="R123">
            <v>226157.99</v>
          </cell>
          <cell r="S123">
            <v>232572.59</v>
          </cell>
          <cell r="T123">
            <v>239147.796</v>
          </cell>
          <cell r="U123">
            <v>245876.45300000001</v>
          </cell>
          <cell r="V123">
            <v>252746.649</v>
          </cell>
          <cell r="W123">
            <v>259748.60500000001</v>
          </cell>
          <cell r="X123">
            <v>266879.50300000003</v>
          </cell>
          <cell r="Y123">
            <v>274138.67200000002</v>
          </cell>
          <cell r="Z123">
            <v>281521.14299999998</v>
          </cell>
          <cell r="AA123">
            <v>289037.05699999997</v>
          </cell>
          <cell r="AB123">
            <v>296673.43400000001</v>
          </cell>
          <cell r="AC123">
            <v>304375.91399999999</v>
          </cell>
          <cell r="AD123">
            <v>312073.20299999998</v>
          </cell>
          <cell r="AE123">
            <v>319720.69300000003</v>
          </cell>
          <cell r="AF123">
            <v>327281.603</v>
          </cell>
          <cell r="AG123">
            <v>334785.69199999998</v>
          </cell>
          <cell r="AH123">
            <v>342335.84100000001</v>
          </cell>
          <cell r="AI123">
            <v>350076.22100000002</v>
          </cell>
          <cell r="AJ123">
            <v>358105.71100000001</v>
          </cell>
          <cell r="AK123">
            <v>366454.08600000001</v>
          </cell>
          <cell r="AL123">
            <v>375074.32900000003</v>
          </cell>
          <cell r="AM123">
            <v>383893.01699999999</v>
          </cell>
          <cell r="AN123">
            <v>392800.96799999999</v>
          </cell>
          <cell r="AO123">
            <v>401711.75599999999</v>
          </cell>
          <cell r="AP123">
            <v>410604.848</v>
          </cell>
          <cell r="AQ123">
            <v>419482.69</v>
          </cell>
          <cell r="AR123">
            <v>428308.64899999998</v>
          </cell>
          <cell r="AS123">
            <v>437045.34700000001</v>
          </cell>
          <cell r="AT123">
            <v>445665.26</v>
          </cell>
          <cell r="AU123">
            <v>454143.63199999998</v>
          </cell>
          <cell r="AV123">
            <v>462477.15500000003</v>
          </cell>
          <cell r="AW123">
            <v>470688.17800000001</v>
          </cell>
          <cell r="AX123">
            <v>478813.995</v>
          </cell>
          <cell r="AY123">
            <v>486881.24400000001</v>
          </cell>
          <cell r="AZ123">
            <v>494890.88699999999</v>
          </cell>
          <cell r="BA123">
            <v>502830.092</v>
          </cell>
          <cell r="BB123">
            <v>510695.38799999998</v>
          </cell>
          <cell r="BC123">
            <v>518480.478</v>
          </cell>
          <cell r="BD123">
            <v>526178.80799999996</v>
          </cell>
          <cell r="BE123">
            <v>533808.08900000004</v>
          </cell>
          <cell r="BF123">
            <v>541368.19700000004</v>
          </cell>
          <cell r="BG123">
            <v>548814.978</v>
          </cell>
          <cell r="BH123">
            <v>556088.75800000003</v>
          </cell>
          <cell r="BI123">
            <v>563156.68099999998</v>
          </cell>
          <cell r="BJ123">
            <v>569985.01199999999</v>
          </cell>
          <cell r="BK123">
            <v>576612.86100000003</v>
          </cell>
          <cell r="BL123">
            <v>583168.34299999999</v>
          </cell>
          <cell r="BM123">
            <v>589826.50800000003</v>
          </cell>
          <cell r="BN123">
            <v>596707.85499999998</v>
          </cell>
          <cell r="BO123">
            <v>603860.44799999997</v>
          </cell>
          <cell r="BP123">
            <v>611233.05000000005</v>
          </cell>
          <cell r="BQ123">
            <v>618723.69900000002</v>
          </cell>
          <cell r="BR123">
            <v>626180.71699999995</v>
          </cell>
          <cell r="BS123">
            <v>633489.946</v>
          </cell>
        </row>
        <row r="124">
          <cell r="E124">
            <v>96</v>
          </cell>
          <cell r="F124">
            <v>48.000999999999998</v>
          </cell>
          <cell r="G124">
            <v>50.970999999999997</v>
          </cell>
          <cell r="H124">
            <v>53.932000000000002</v>
          </cell>
          <cell r="I124">
            <v>56.957999999999998</v>
          </cell>
          <cell r="J124">
            <v>60.103999999999999</v>
          </cell>
          <cell r="K124">
            <v>63.401000000000003</v>
          </cell>
          <cell r="L124">
            <v>66.858999999999995</v>
          </cell>
          <cell r="M124">
            <v>70.465000000000003</v>
          </cell>
          <cell r="N124">
            <v>74.188999999999993</v>
          </cell>
          <cell r="O124">
            <v>77.989000000000004</v>
          </cell>
          <cell r="P124">
            <v>81.825000000000003</v>
          </cell>
          <cell r="Q124">
            <v>85.686999999999998</v>
          </cell>
          <cell r="R124">
            <v>89.602999999999994</v>
          </cell>
          <cell r="S124">
            <v>93.65</v>
          </cell>
          <cell r="T124">
            <v>97.933000000000007</v>
          </cell>
          <cell r="U124">
            <v>102.52500000000001</v>
          </cell>
          <cell r="V124">
            <v>107.45</v>
          </cell>
          <cell r="W124">
            <v>112.68</v>
          </cell>
          <cell r="X124">
            <v>118.176</v>
          </cell>
          <cell r="Y124">
            <v>123.875</v>
          </cell>
          <cell r="Z124">
            <v>129.72900000000001</v>
          </cell>
          <cell r="AA124">
            <v>135.71600000000001</v>
          </cell>
          <cell r="AB124">
            <v>141.83600000000001</v>
          </cell>
          <cell r="AC124">
            <v>148.06700000000001</v>
          </cell>
          <cell r="AD124">
            <v>154.39500000000001</v>
          </cell>
          <cell r="AE124">
            <v>160.79900000000001</v>
          </cell>
          <cell r="AF124">
            <v>167.28299999999999</v>
          </cell>
          <cell r="AG124">
            <v>173.82599999999999</v>
          </cell>
          <cell r="AH124">
            <v>180.357</v>
          </cell>
          <cell r="AI124">
            <v>186.786</v>
          </cell>
          <cell r="AJ124">
            <v>193.05699999999999</v>
          </cell>
          <cell r="AK124">
            <v>199.136</v>
          </cell>
          <cell r="AL124">
            <v>205.06100000000001</v>
          </cell>
          <cell r="AM124">
            <v>210.93299999999999</v>
          </cell>
          <cell r="AN124">
            <v>216.893</v>
          </cell>
          <cell r="AO124">
            <v>223.04900000000001</v>
          </cell>
          <cell r="AP124">
            <v>229.41800000000001</v>
          </cell>
          <cell r="AQ124">
            <v>235.98</v>
          </cell>
          <cell r="AR124">
            <v>242.75</v>
          </cell>
          <cell r="AS124">
            <v>249.738</v>
          </cell>
          <cell r="AT124">
            <v>256.93900000000002</v>
          </cell>
          <cell r="AU124">
            <v>264.36500000000001</v>
          </cell>
          <cell r="AV124">
            <v>271.98899999999998</v>
          </cell>
          <cell r="AW124">
            <v>279.71699999999998</v>
          </cell>
          <cell r="AX124">
            <v>287.423</v>
          </cell>
          <cell r="AY124">
            <v>295.01</v>
          </cell>
          <cell r="AZ124">
            <v>302.44900000000001</v>
          </cell>
          <cell r="BA124">
            <v>309.74599999999998</v>
          </cell>
          <cell r="BB124">
            <v>316.87299999999999</v>
          </cell>
          <cell r="BC124">
            <v>323.81200000000001</v>
          </cell>
          <cell r="BD124">
            <v>330.55399999999997</v>
          </cell>
          <cell r="BE124">
            <v>337.07400000000001</v>
          </cell>
          <cell r="BF124">
            <v>343.38299999999998</v>
          </cell>
          <cell r="BG124">
            <v>349.55700000000002</v>
          </cell>
          <cell r="BH124">
            <v>355.7</v>
          </cell>
          <cell r="BI124">
            <v>361.88900000000001</v>
          </cell>
          <cell r="BJ124">
            <v>368.15</v>
          </cell>
          <cell r="BK124">
            <v>374.459</v>
          </cell>
          <cell r="BL124">
            <v>380.786</v>
          </cell>
          <cell r="BM124">
            <v>387.08</v>
          </cell>
          <cell r="BN124">
            <v>393.30200000000002</v>
          </cell>
          <cell r="BO124">
            <v>399.44299999999998</v>
          </cell>
          <cell r="BP124">
            <v>405.512</v>
          </cell>
          <cell r="BQ124">
            <v>411.49900000000002</v>
          </cell>
          <cell r="BR124">
            <v>417.39400000000001</v>
          </cell>
          <cell r="BS124">
            <v>423.18799999999999</v>
          </cell>
        </row>
        <row r="125">
          <cell r="E125">
            <v>116</v>
          </cell>
          <cell r="F125">
            <v>4432.7160000000003</v>
          </cell>
          <cell r="G125">
            <v>4539.6559999999999</v>
          </cell>
          <cell r="H125">
            <v>4658.6530000000002</v>
          </cell>
          <cell r="I125">
            <v>4784.7920000000004</v>
          </cell>
          <cell r="J125">
            <v>4914.4470000000001</v>
          </cell>
          <cell r="K125">
            <v>5045.2839999999997</v>
          </cell>
          <cell r="L125">
            <v>5176.326</v>
          </cell>
          <cell r="M125">
            <v>5307.8860000000004</v>
          </cell>
          <cell r="N125">
            <v>5441.3649999999998</v>
          </cell>
          <cell r="O125">
            <v>5578.9049999999997</v>
          </cell>
          <cell r="P125">
            <v>5722.37</v>
          </cell>
          <cell r="Q125">
            <v>5872.2470000000003</v>
          </cell>
          <cell r="R125">
            <v>6026.6959999999999</v>
          </cell>
          <cell r="S125">
            <v>6181.1369999999997</v>
          </cell>
          <cell r="T125">
            <v>6329.4110000000001</v>
          </cell>
          <cell r="U125">
            <v>6467.1959999999999</v>
          </cell>
          <cell r="V125">
            <v>6588.9930000000004</v>
          </cell>
          <cell r="W125">
            <v>6695.46</v>
          </cell>
          <cell r="X125">
            <v>6795.5140000000001</v>
          </cell>
          <cell r="Y125">
            <v>6902.0249999999996</v>
          </cell>
          <cell r="Z125">
            <v>7022.1850000000004</v>
          </cell>
          <cell r="AA125">
            <v>7167.7160000000003</v>
          </cell>
          <cell r="AB125">
            <v>7331.1620000000003</v>
          </cell>
          <cell r="AC125">
            <v>7478.1469999999999</v>
          </cell>
          <cell r="AD125">
            <v>7561.5829999999996</v>
          </cell>
          <cell r="AE125">
            <v>7551.9880000000003</v>
          </cell>
          <cell r="AF125">
            <v>7431.5050000000001</v>
          </cell>
          <cell r="AG125">
            <v>7222.05</v>
          </cell>
          <cell r="AH125">
            <v>6982.5219999999999</v>
          </cell>
          <cell r="AI125">
            <v>6795.1019999999999</v>
          </cell>
          <cell r="AJ125">
            <v>6718.241</v>
          </cell>
          <cell r="AK125">
            <v>6774.509</v>
          </cell>
          <cell r="AL125">
            <v>6945.0529999999999</v>
          </cell>
          <cell r="AM125">
            <v>7196.1390000000001</v>
          </cell>
          <cell r="AN125">
            <v>7475.0110000000004</v>
          </cell>
          <cell r="AO125">
            <v>7743.0649999999996</v>
          </cell>
          <cell r="AP125">
            <v>7990.1329999999998</v>
          </cell>
          <cell r="AQ125">
            <v>8228.268</v>
          </cell>
          <cell r="AR125">
            <v>8467.1090000000004</v>
          </cell>
          <cell r="AS125">
            <v>8723.5499999999993</v>
          </cell>
          <cell r="AT125">
            <v>9008.8559999999998</v>
          </cell>
          <cell r="AU125">
            <v>9323.607</v>
          </cell>
          <cell r="AV125">
            <v>9659.2379999999994</v>
          </cell>
          <cell r="AW125">
            <v>10007.092000000001</v>
          </cell>
          <cell r="AX125">
            <v>10355.253000000001</v>
          </cell>
          <cell r="AY125">
            <v>10694.459000000001</v>
          </cell>
          <cell r="AZ125">
            <v>11022.162</v>
          </cell>
          <cell r="BA125">
            <v>11338.733</v>
          </cell>
          <cell r="BB125">
            <v>11641.509</v>
          </cell>
          <cell r="BC125">
            <v>11928.306</v>
          </cell>
          <cell r="BD125">
            <v>12197.905000000001</v>
          </cell>
          <cell r="BE125">
            <v>12448.880999999999</v>
          </cell>
          <cell r="BF125">
            <v>12681.984</v>
          </cell>
          <cell r="BG125">
            <v>12901.217000000001</v>
          </cell>
          <cell r="BH125">
            <v>13112.334000000001</v>
          </cell>
          <cell r="BI125">
            <v>13320.058000000001</v>
          </cell>
          <cell r="BJ125">
            <v>13525.36</v>
          </cell>
          <cell r="BK125">
            <v>13728.7</v>
          </cell>
          <cell r="BL125">
            <v>13933.66</v>
          </cell>
          <cell r="BM125">
            <v>14144.337</v>
          </cell>
          <cell r="BN125">
            <v>14363.585999999999</v>
          </cell>
          <cell r="BO125">
            <v>14593.099</v>
          </cell>
          <cell r="BP125">
            <v>14832.254999999999</v>
          </cell>
          <cell r="BQ125">
            <v>15078.564</v>
          </cell>
          <cell r="BR125">
            <v>15328.136</v>
          </cell>
          <cell r="BS125">
            <v>15577.898999999999</v>
          </cell>
        </row>
        <row r="126">
          <cell r="E126">
            <v>360</v>
          </cell>
          <cell r="F126">
            <v>69543.319000000003</v>
          </cell>
          <cell r="G126">
            <v>70869.607999999993</v>
          </cell>
          <cell r="H126">
            <v>72309.902000000002</v>
          </cell>
          <cell r="I126">
            <v>73866.52</v>
          </cell>
          <cell r="J126">
            <v>75539.737999999998</v>
          </cell>
          <cell r="K126">
            <v>77327.798999999999</v>
          </cell>
          <cell r="L126">
            <v>79226.786999999997</v>
          </cell>
          <cell r="M126">
            <v>81230.748999999996</v>
          </cell>
          <cell r="N126">
            <v>83332.054000000004</v>
          </cell>
          <cell r="O126">
            <v>85521.981</v>
          </cell>
          <cell r="P126">
            <v>87792.512000000002</v>
          </cell>
          <cell r="Q126">
            <v>90138.235000000001</v>
          </cell>
          <cell r="R126">
            <v>92558.005999999994</v>
          </cell>
          <cell r="S126">
            <v>95055.668999999994</v>
          </cell>
          <cell r="T126">
            <v>97638.027000000002</v>
          </cell>
          <cell r="U126">
            <v>100308.89599999999</v>
          </cell>
          <cell r="V126">
            <v>103067.352</v>
          </cell>
          <cell r="W126">
            <v>105907.40300000001</v>
          </cell>
          <cell r="X126">
            <v>108821.565</v>
          </cell>
          <cell r="Y126">
            <v>111800.09</v>
          </cell>
          <cell r="Z126">
            <v>114834.781</v>
          </cell>
          <cell r="AA126">
            <v>117921.99400000001</v>
          </cell>
          <cell r="AB126">
            <v>121059.511</v>
          </cell>
          <cell r="AC126">
            <v>124242.299</v>
          </cell>
          <cell r="AD126">
            <v>127465.232</v>
          </cell>
          <cell r="AE126">
            <v>130724.118</v>
          </cell>
          <cell r="AF126">
            <v>134010.69500000001</v>
          </cell>
          <cell r="AG126">
            <v>137322.122</v>
          </cell>
          <cell r="AH126">
            <v>140665.859</v>
          </cell>
          <cell r="AI126">
            <v>144053.516</v>
          </cell>
          <cell r="AJ126">
            <v>147490.36600000001</v>
          </cell>
          <cell r="AK126">
            <v>150978.84099999999</v>
          </cell>
          <cell r="AL126">
            <v>154506.266</v>
          </cell>
          <cell r="AM126">
            <v>158044.34299999999</v>
          </cell>
          <cell r="AN126">
            <v>161555.584</v>
          </cell>
          <cell r="AO126">
            <v>165012.19500000001</v>
          </cell>
          <cell r="AP126">
            <v>168402.027</v>
          </cell>
          <cell r="AQ126">
            <v>171728.916</v>
          </cell>
          <cell r="AR126">
            <v>175000.91899999999</v>
          </cell>
          <cell r="AS126">
            <v>178233.231</v>
          </cell>
          <cell r="AT126">
            <v>181436.821</v>
          </cell>
          <cell r="AU126">
            <v>184614.74</v>
          </cell>
          <cell r="AV126">
            <v>187762.09700000001</v>
          </cell>
          <cell r="AW126">
            <v>190873.24799999999</v>
          </cell>
          <cell r="AX126">
            <v>193939.91200000001</v>
          </cell>
          <cell r="AY126">
            <v>196957.845</v>
          </cell>
          <cell r="AZ126">
            <v>199926.61499999999</v>
          </cell>
          <cell r="BA126">
            <v>202853.85</v>
          </cell>
          <cell r="BB126">
            <v>205753.49299999999</v>
          </cell>
          <cell r="BC126">
            <v>208644.079</v>
          </cell>
          <cell r="BD126">
            <v>211540.42800000001</v>
          </cell>
          <cell r="BE126">
            <v>214448.30100000001</v>
          </cell>
          <cell r="BF126">
            <v>217369.087</v>
          </cell>
          <cell r="BG126">
            <v>220307.80900000001</v>
          </cell>
          <cell r="BH126">
            <v>223268.606</v>
          </cell>
          <cell r="BI126">
            <v>226254.70300000001</v>
          </cell>
          <cell r="BJ126">
            <v>229263.98</v>
          </cell>
          <cell r="BK126">
            <v>232296.83</v>
          </cell>
          <cell r="BL126">
            <v>235360.76500000001</v>
          </cell>
          <cell r="BM126">
            <v>238465.16500000001</v>
          </cell>
          <cell r="BN126">
            <v>241613.12599999999</v>
          </cell>
          <cell r="BO126">
            <v>244808.25399999999</v>
          </cell>
          <cell r="BP126">
            <v>248037.853</v>
          </cell>
          <cell r="BQ126">
            <v>251268.27600000001</v>
          </cell>
          <cell r="BR126">
            <v>254454.77799999999</v>
          </cell>
          <cell r="BS126">
            <v>257563.815</v>
          </cell>
        </row>
        <row r="127">
          <cell r="E127">
            <v>418</v>
          </cell>
          <cell r="F127">
            <v>1682.9159999999999</v>
          </cell>
          <cell r="G127">
            <v>1723.05</v>
          </cell>
          <cell r="H127">
            <v>1763.7909999999999</v>
          </cell>
          <cell r="I127">
            <v>1805.21</v>
          </cell>
          <cell r="J127">
            <v>1847.377</v>
          </cell>
          <cell r="K127">
            <v>1890.3630000000001</v>
          </cell>
          <cell r="L127">
            <v>1934.2349999999999</v>
          </cell>
          <cell r="M127">
            <v>1979.06</v>
          </cell>
          <cell r="N127">
            <v>2024.9069999999999</v>
          </cell>
          <cell r="O127">
            <v>2071.8440000000001</v>
          </cell>
          <cell r="P127">
            <v>2119.944</v>
          </cell>
          <cell r="Q127">
            <v>2169.2869999999998</v>
          </cell>
          <cell r="R127">
            <v>2219.9639999999999</v>
          </cell>
          <cell r="S127">
            <v>2272.078</v>
          </cell>
          <cell r="T127">
            <v>2325.7420000000002</v>
          </cell>
          <cell r="U127">
            <v>2381.0630000000001</v>
          </cell>
          <cell r="V127">
            <v>2437.527</v>
          </cell>
          <cell r="W127">
            <v>2495.0929999999998</v>
          </cell>
          <cell r="X127">
            <v>2554.8429999999998</v>
          </cell>
          <cell r="Y127">
            <v>2618.2460000000001</v>
          </cell>
          <cell r="Z127">
            <v>2686.0250000000001</v>
          </cell>
          <cell r="AA127">
            <v>2759.634</v>
          </cell>
          <cell r="AB127">
            <v>2837.9670000000001</v>
          </cell>
          <cell r="AC127">
            <v>2916.1480000000001</v>
          </cell>
          <cell r="AD127">
            <v>2987.5439999999999</v>
          </cell>
          <cell r="AE127">
            <v>3047.864</v>
          </cell>
          <cell r="AF127">
            <v>3094.94</v>
          </cell>
          <cell r="AG127">
            <v>3131.4920000000002</v>
          </cell>
          <cell r="AH127">
            <v>3164.1460000000002</v>
          </cell>
          <cell r="AI127">
            <v>3202.27</v>
          </cell>
          <cell r="AJ127">
            <v>3252.701</v>
          </cell>
          <cell r="AK127">
            <v>3317.57</v>
          </cell>
          <cell r="AL127">
            <v>3395.1129999999998</v>
          </cell>
          <cell r="AM127">
            <v>3483.4920000000002</v>
          </cell>
          <cell r="AN127">
            <v>3579.37</v>
          </cell>
          <cell r="AO127">
            <v>3680.145</v>
          </cell>
          <cell r="AP127">
            <v>3785.23</v>
          </cell>
          <cell r="AQ127">
            <v>3895.0659999999998</v>
          </cell>
          <cell r="AR127">
            <v>4009.1210000000001</v>
          </cell>
          <cell r="AS127">
            <v>4126.9350000000004</v>
          </cell>
          <cell r="AT127">
            <v>4247.8389999999999</v>
          </cell>
          <cell r="AU127">
            <v>4371.549</v>
          </cell>
          <cell r="AV127">
            <v>4496.9709999999995</v>
          </cell>
          <cell r="AW127">
            <v>4621.6850000000004</v>
          </cell>
          <cell r="AX127">
            <v>4742.6850000000004</v>
          </cell>
          <cell r="AY127">
            <v>4857.7740000000003</v>
          </cell>
          <cell r="AZ127">
            <v>4966.3029999999999</v>
          </cell>
          <cell r="BA127">
            <v>5068.6580000000004</v>
          </cell>
          <cell r="BB127">
            <v>5165.0720000000001</v>
          </cell>
          <cell r="BC127">
            <v>5256.2070000000003</v>
          </cell>
          <cell r="BD127">
            <v>5342.8789999999999</v>
          </cell>
          <cell r="BE127">
            <v>5424.701</v>
          </cell>
          <cell r="BF127">
            <v>5502.34</v>
          </cell>
          <cell r="BG127">
            <v>5579.0029999999997</v>
          </cell>
          <cell r="BH127">
            <v>5658.8940000000002</v>
          </cell>
          <cell r="BI127">
            <v>5745.0119999999997</v>
          </cell>
          <cell r="BJ127">
            <v>5838.8370000000004</v>
          </cell>
          <cell r="BK127">
            <v>5939.634</v>
          </cell>
          <cell r="BL127">
            <v>6045.4390000000003</v>
          </cell>
          <cell r="BM127">
            <v>6153.1530000000002</v>
          </cell>
          <cell r="BN127">
            <v>6260.5439999999999</v>
          </cell>
          <cell r="BO127">
            <v>6366.9089999999997</v>
          </cell>
          <cell r="BP127">
            <v>6473.05</v>
          </cell>
          <cell r="BQ127">
            <v>6579.9849999999997</v>
          </cell>
          <cell r="BR127">
            <v>6689.3</v>
          </cell>
          <cell r="BS127">
            <v>6802.0230000000001</v>
          </cell>
        </row>
        <row r="128">
          <cell r="E128">
            <v>458</v>
          </cell>
          <cell r="F128">
            <v>6109.9070000000002</v>
          </cell>
          <cell r="G128">
            <v>6261.9160000000002</v>
          </cell>
          <cell r="H128">
            <v>6433.1610000000001</v>
          </cell>
          <cell r="I128">
            <v>6618.2740000000003</v>
          </cell>
          <cell r="J128">
            <v>6813.3779999999997</v>
          </cell>
          <cell r="K128">
            <v>7016.0969999999998</v>
          </cell>
          <cell r="L128">
            <v>7225.6239999999998</v>
          </cell>
          <cell r="M128">
            <v>7442.6490000000003</v>
          </cell>
          <cell r="N128">
            <v>7669.1059999999998</v>
          </cell>
          <cell r="O128">
            <v>7907.7619999999997</v>
          </cell>
          <cell r="P128">
            <v>8160.9750000000004</v>
          </cell>
          <cell r="Q128">
            <v>8429.3690000000006</v>
          </cell>
          <cell r="R128">
            <v>8710.6779999999999</v>
          </cell>
          <cell r="S128">
            <v>8999.2469999999994</v>
          </cell>
          <cell r="T128">
            <v>9287.4419999999991</v>
          </cell>
          <cell r="U128">
            <v>9569.7839999999997</v>
          </cell>
          <cell r="V128">
            <v>9844.116</v>
          </cell>
          <cell r="W128">
            <v>10111.92</v>
          </cell>
          <cell r="X128">
            <v>10375.877</v>
          </cell>
          <cell r="Y128">
            <v>10640.347</v>
          </cell>
          <cell r="Z128">
            <v>10908.634</v>
          </cell>
          <cell r="AA128">
            <v>11182.078</v>
          </cell>
          <cell r="AB128">
            <v>11460.08</v>
          </cell>
          <cell r="AC128">
            <v>11741.849</v>
          </cell>
          <cell r="AD128">
            <v>12025.93</v>
          </cell>
          <cell r="AE128">
            <v>12311.781999999999</v>
          </cell>
          <cell r="AF128">
            <v>12599.655000000001</v>
          </cell>
          <cell r="AG128">
            <v>12891.715</v>
          </cell>
          <cell r="AH128">
            <v>13191.699000000001</v>
          </cell>
          <cell r="AI128">
            <v>13504.433000000001</v>
          </cell>
          <cell r="AJ128">
            <v>13833.739</v>
          </cell>
          <cell r="AK128">
            <v>14180.093000000001</v>
          </cell>
          <cell r="AL128">
            <v>14543.584999999999</v>
          </cell>
          <cell r="AM128">
            <v>14926.976000000001</v>
          </cell>
          <cell r="AN128">
            <v>15333.369000000001</v>
          </cell>
          <cell r="AO128">
            <v>15764.34</v>
          </cell>
          <cell r="AP128">
            <v>16221.767</v>
          </cell>
          <cell r="AQ128">
            <v>16703.5</v>
          </cell>
          <cell r="AR128">
            <v>17202.031999999999</v>
          </cell>
          <cell r="AS128">
            <v>17707.063999999998</v>
          </cell>
          <cell r="AT128">
            <v>18211.097000000002</v>
          </cell>
          <cell r="AU128">
            <v>18709.834999999999</v>
          </cell>
          <cell r="AV128">
            <v>19204.7</v>
          </cell>
          <cell r="AW128">
            <v>19700.761999999999</v>
          </cell>
          <cell r="AX128">
            <v>20205.991999999998</v>
          </cell>
          <cell r="AY128">
            <v>20725.374</v>
          </cell>
          <cell r="AZ128">
            <v>21260.881000000001</v>
          </cell>
          <cell r="BA128">
            <v>21808.125</v>
          </cell>
          <cell r="BB128">
            <v>22358.128000000001</v>
          </cell>
          <cell r="BC128">
            <v>22898.579000000002</v>
          </cell>
          <cell r="BD128">
            <v>23420.751</v>
          </cell>
          <cell r="BE128">
            <v>23920.963</v>
          </cell>
          <cell r="BF128">
            <v>24401.976999999999</v>
          </cell>
          <cell r="BG128">
            <v>24869.422999999999</v>
          </cell>
          <cell r="BH128">
            <v>25332.026000000002</v>
          </cell>
          <cell r="BI128">
            <v>25796.124</v>
          </cell>
          <cell r="BJ128">
            <v>26263.047999999999</v>
          </cell>
          <cell r="BK128">
            <v>26730.607</v>
          </cell>
          <cell r="BL128">
            <v>27197.419000000002</v>
          </cell>
          <cell r="BM128">
            <v>27661.017</v>
          </cell>
          <cell r="BN128">
            <v>28119.5</v>
          </cell>
          <cell r="BO128">
            <v>28572.97</v>
          </cell>
          <cell r="BP128">
            <v>29021.94</v>
          </cell>
          <cell r="BQ128">
            <v>29465.371999999999</v>
          </cell>
          <cell r="BR128">
            <v>29901.996999999999</v>
          </cell>
          <cell r="BS128">
            <v>30331.007000000001</v>
          </cell>
        </row>
        <row r="129">
          <cell r="E129">
            <v>104</v>
          </cell>
          <cell r="F129">
            <v>17527.242999999999</v>
          </cell>
          <cell r="G129">
            <v>17850.067999999999</v>
          </cell>
          <cell r="H129">
            <v>18182.312000000002</v>
          </cell>
          <cell r="I129">
            <v>18529.494999999999</v>
          </cell>
          <cell r="J129">
            <v>18895.417000000001</v>
          </cell>
          <cell r="K129">
            <v>19282.171999999999</v>
          </cell>
          <cell r="L129">
            <v>19690.045999999998</v>
          </cell>
          <cell r="M129">
            <v>20117.611000000001</v>
          </cell>
          <cell r="N129">
            <v>20562.006000000001</v>
          </cell>
          <cell r="O129">
            <v>21019.407999999999</v>
          </cell>
          <cell r="P129">
            <v>21486.423999999999</v>
          </cell>
          <cell r="Q129">
            <v>21961.594000000001</v>
          </cell>
          <cell r="R129">
            <v>22446.69</v>
          </cell>
          <cell r="S129">
            <v>22947.286</v>
          </cell>
          <cell r="T129">
            <v>23471.163</v>
          </cell>
          <cell r="U129">
            <v>24023.64</v>
          </cell>
          <cell r="V129">
            <v>24606.863000000001</v>
          </cell>
          <cell r="W129">
            <v>25218.375</v>
          </cell>
          <cell r="X129">
            <v>25853.248</v>
          </cell>
          <cell r="Y129">
            <v>26504.246999999999</v>
          </cell>
          <cell r="Z129">
            <v>27166.044999999998</v>
          </cell>
          <cell r="AA129">
            <v>27836.648000000001</v>
          </cell>
          <cell r="AB129">
            <v>28517.289000000001</v>
          </cell>
          <cell r="AC129">
            <v>29209.686000000002</v>
          </cell>
          <cell r="AD129">
            <v>29916.827000000001</v>
          </cell>
          <cell r="AE129">
            <v>30640.634999999998</v>
          </cell>
          <cell r="AF129">
            <v>31379.308000000001</v>
          </cell>
          <cell r="AG129">
            <v>32130.696</v>
          </cell>
          <cell r="AH129">
            <v>32895.739000000001</v>
          </cell>
          <cell r="AI129">
            <v>33675.834999999999</v>
          </cell>
          <cell r="AJ129">
            <v>34470.694000000003</v>
          </cell>
          <cell r="AK129">
            <v>35279.906999999999</v>
          </cell>
          <cell r="AL129">
            <v>36098.908000000003</v>
          </cell>
          <cell r="AM129">
            <v>36917.980000000003</v>
          </cell>
          <cell r="AN129">
            <v>37724.580999999998</v>
          </cell>
          <cell r="AO129">
            <v>38508.821000000004</v>
          </cell>
          <cell r="AP129">
            <v>39269.142999999996</v>
          </cell>
          <cell r="AQ129">
            <v>40005.368999999999</v>
          </cell>
          <cell r="AR129">
            <v>40711.171999999999</v>
          </cell>
          <cell r="AS129">
            <v>41379.635000000002</v>
          </cell>
          <cell r="AT129">
            <v>42007.309000000001</v>
          </cell>
          <cell r="AU129">
            <v>42588.029000000002</v>
          </cell>
          <cell r="AV129">
            <v>43126.26</v>
          </cell>
          <cell r="AW129">
            <v>43642.311000000002</v>
          </cell>
          <cell r="AX129">
            <v>44164.108999999997</v>
          </cell>
          <cell r="AY129">
            <v>44710.930999999997</v>
          </cell>
          <cell r="AZ129">
            <v>45290.887999999999</v>
          </cell>
          <cell r="BA129">
            <v>45895.991000000002</v>
          </cell>
          <cell r="BB129">
            <v>46509.586000000003</v>
          </cell>
          <cell r="BC129">
            <v>47106.923000000003</v>
          </cell>
          <cell r="BD129">
            <v>47669.790999999997</v>
          </cell>
          <cell r="BE129">
            <v>48195.684000000001</v>
          </cell>
          <cell r="BF129">
            <v>48689.951999999997</v>
          </cell>
          <cell r="BG129">
            <v>49151.957999999999</v>
          </cell>
          <cell r="BH129">
            <v>49582.750999999997</v>
          </cell>
          <cell r="BI129">
            <v>49984.703999999998</v>
          </cell>
          <cell r="BJ129">
            <v>50355.559000000001</v>
          </cell>
          <cell r="BK129">
            <v>50698.813999999998</v>
          </cell>
          <cell r="BL129">
            <v>51030.006000000001</v>
          </cell>
          <cell r="BM129">
            <v>51369.724999999999</v>
          </cell>
          <cell r="BN129">
            <v>51733.012999999999</v>
          </cell>
          <cell r="BO129">
            <v>52125.411</v>
          </cell>
          <cell r="BP129">
            <v>52543.841</v>
          </cell>
          <cell r="BQ129">
            <v>52983.828999999998</v>
          </cell>
          <cell r="BR129">
            <v>53437.159</v>
          </cell>
          <cell r="BS129">
            <v>53897.154000000002</v>
          </cell>
        </row>
        <row r="130">
          <cell r="E130">
            <v>608</v>
          </cell>
          <cell r="F130">
            <v>18580.487000000001</v>
          </cell>
          <cell r="G130">
            <v>19246.611000000001</v>
          </cell>
          <cell r="H130">
            <v>19945.659</v>
          </cell>
          <cell r="I130">
            <v>20670.541000000001</v>
          </cell>
          <cell r="J130">
            <v>21416.098999999998</v>
          </cell>
          <cell r="K130">
            <v>22179.102999999999</v>
          </cell>
          <cell r="L130">
            <v>22958.357</v>
          </cell>
          <cell r="M130">
            <v>23754.592000000001</v>
          </cell>
          <cell r="N130">
            <v>24570.173999999999</v>
          </cell>
          <cell r="O130">
            <v>25408.605</v>
          </cell>
          <cell r="P130">
            <v>26273.023000000001</v>
          </cell>
          <cell r="Q130">
            <v>27164.617999999999</v>
          </cell>
          <cell r="R130">
            <v>28081.234</v>
          </cell>
          <cell r="S130">
            <v>29016.77</v>
          </cell>
          <cell r="T130">
            <v>29962.877</v>
          </cell>
          <cell r="U130">
            <v>30913.931</v>
          </cell>
          <cell r="V130">
            <v>31867.564999999999</v>
          </cell>
          <cell r="W130">
            <v>32826.601999999999</v>
          </cell>
          <cell r="X130">
            <v>33797.040999999997</v>
          </cell>
          <cell r="Y130">
            <v>34787.588000000003</v>
          </cell>
          <cell r="Z130">
            <v>35804.731</v>
          </cell>
          <cell r="AA130">
            <v>36851.055</v>
          </cell>
          <cell r="AB130">
            <v>37925.4</v>
          </cell>
          <cell r="AC130">
            <v>39026.082000000002</v>
          </cell>
          <cell r="AD130">
            <v>40149.959000000003</v>
          </cell>
          <cell r="AE130">
            <v>41295.129000000001</v>
          </cell>
          <cell r="AF130">
            <v>42461.188999999998</v>
          </cell>
          <cell r="AG130">
            <v>43650.332999999999</v>
          </cell>
          <cell r="AH130">
            <v>44866.279000000002</v>
          </cell>
          <cell r="AI130">
            <v>46113.991999999998</v>
          </cell>
          <cell r="AJ130">
            <v>47396.966</v>
          </cell>
          <cell r="AK130">
            <v>48715.591999999997</v>
          </cell>
          <cell r="AL130">
            <v>50068.493000000002</v>
          </cell>
          <cell r="AM130">
            <v>51455.036999999997</v>
          </cell>
          <cell r="AN130">
            <v>52873.978999999999</v>
          </cell>
          <cell r="AO130">
            <v>54323.650999999998</v>
          </cell>
          <cell r="AP130">
            <v>55803.915000000001</v>
          </cell>
          <cell r="AQ130">
            <v>57312.794000000002</v>
          </cell>
          <cell r="AR130">
            <v>58844.392</v>
          </cell>
          <cell r="AS130">
            <v>60391.167999999998</v>
          </cell>
          <cell r="AT130">
            <v>61947.34</v>
          </cell>
          <cell r="AU130">
            <v>63509.94</v>
          </cell>
          <cell r="AV130">
            <v>65078.900999999998</v>
          </cell>
          <cell r="AW130">
            <v>66654.953999999998</v>
          </cell>
          <cell r="AX130">
            <v>68240.134000000005</v>
          </cell>
          <cell r="AY130">
            <v>69835.713000000003</v>
          </cell>
          <cell r="AZ130">
            <v>71437.380999999994</v>
          </cell>
          <cell r="BA130">
            <v>73042.604999999996</v>
          </cell>
          <cell r="BB130">
            <v>74656.228000000003</v>
          </cell>
          <cell r="BC130">
            <v>76285.225000000006</v>
          </cell>
          <cell r="BD130">
            <v>77932.247000000003</v>
          </cell>
          <cell r="BE130">
            <v>79604.540999999997</v>
          </cell>
          <cell r="BF130">
            <v>81294.377999999997</v>
          </cell>
          <cell r="BG130">
            <v>82971.733999999997</v>
          </cell>
          <cell r="BH130">
            <v>84596.248999999996</v>
          </cell>
          <cell r="BI130">
            <v>86141.373000000007</v>
          </cell>
          <cell r="BJ130">
            <v>87592.899000000005</v>
          </cell>
          <cell r="BK130">
            <v>88965.508000000002</v>
          </cell>
          <cell r="BL130">
            <v>90297.115000000005</v>
          </cell>
          <cell r="BM130">
            <v>91641.880999999994</v>
          </cell>
          <cell r="BN130">
            <v>93038.902000000002</v>
          </cell>
          <cell r="BO130">
            <v>94501.232999999993</v>
          </cell>
          <cell r="BP130">
            <v>96017.322</v>
          </cell>
          <cell r="BQ130">
            <v>97571.676000000007</v>
          </cell>
          <cell r="BR130">
            <v>99138.69</v>
          </cell>
          <cell r="BS130">
            <v>100699.395</v>
          </cell>
        </row>
        <row r="131">
          <cell r="E131">
            <v>702</v>
          </cell>
          <cell r="F131">
            <v>1022.098</v>
          </cell>
          <cell r="G131">
            <v>1067.9639999999999</v>
          </cell>
          <cell r="H131">
            <v>1120.277</v>
          </cell>
          <cell r="I131">
            <v>1178.0740000000001</v>
          </cell>
          <cell r="J131">
            <v>1240.2829999999999</v>
          </cell>
          <cell r="K131">
            <v>1305.731</v>
          </cell>
          <cell r="L131">
            <v>1373.1210000000001</v>
          </cell>
          <cell r="M131">
            <v>1441.0519999999999</v>
          </cell>
          <cell r="N131">
            <v>1508.0609999999999</v>
          </cell>
          <cell r="O131">
            <v>1572.694</v>
          </cell>
          <cell r="P131">
            <v>1633.7180000000001</v>
          </cell>
          <cell r="Q131">
            <v>1690.3530000000001</v>
          </cell>
          <cell r="R131">
            <v>1742.472</v>
          </cell>
          <cell r="S131">
            <v>1790.682</v>
          </cell>
          <cell r="T131">
            <v>1836.087</v>
          </cell>
          <cell r="U131">
            <v>1879.5709999999999</v>
          </cell>
          <cell r="V131">
            <v>1921.0989999999999</v>
          </cell>
          <cell r="W131">
            <v>1960.547</v>
          </cell>
          <cell r="X131">
            <v>1998.6369999999999</v>
          </cell>
          <cell r="Y131">
            <v>2036.27</v>
          </cell>
          <cell r="Z131">
            <v>2074.0709999999999</v>
          </cell>
          <cell r="AA131">
            <v>2112.873</v>
          </cell>
          <cell r="AB131">
            <v>2152.6030000000001</v>
          </cell>
          <cell r="AC131">
            <v>2191.924</v>
          </cell>
          <cell r="AD131">
            <v>2228.8960000000002</v>
          </cell>
          <cell r="AE131">
            <v>2262.393</v>
          </cell>
          <cell r="AF131">
            <v>2291.6210000000001</v>
          </cell>
          <cell r="AG131">
            <v>2317.7959999999998</v>
          </cell>
          <cell r="AH131">
            <v>2344.2240000000002</v>
          </cell>
          <cell r="AI131">
            <v>2375.4169999999999</v>
          </cell>
          <cell r="AJ131">
            <v>2414.5239999999999</v>
          </cell>
          <cell r="AK131">
            <v>2463.2449999999999</v>
          </cell>
          <cell r="AL131">
            <v>2520.4940000000001</v>
          </cell>
          <cell r="AM131">
            <v>2583.241</v>
          </cell>
          <cell r="AN131">
            <v>2646.9810000000002</v>
          </cell>
          <cell r="AO131">
            <v>2708.634</v>
          </cell>
          <cell r="AP131">
            <v>2766.7550000000001</v>
          </cell>
          <cell r="AQ131">
            <v>2822.828</v>
          </cell>
          <cell r="AR131">
            <v>2880.1880000000001</v>
          </cell>
          <cell r="AS131">
            <v>2943.6329999999998</v>
          </cell>
          <cell r="AT131">
            <v>3016.4</v>
          </cell>
          <cell r="AU131">
            <v>3100.0909999999999</v>
          </cell>
          <cell r="AV131">
            <v>3193.0419999999999</v>
          </cell>
          <cell r="AW131">
            <v>3291.28</v>
          </cell>
          <cell r="AX131">
            <v>3389.1190000000001</v>
          </cell>
          <cell r="AY131">
            <v>3482.6350000000002</v>
          </cell>
          <cell r="AZ131">
            <v>3570.08</v>
          </cell>
          <cell r="BA131">
            <v>3653.1509999999998</v>
          </cell>
          <cell r="BB131">
            <v>3735.5309999999999</v>
          </cell>
          <cell r="BC131">
            <v>3822.6190000000001</v>
          </cell>
          <cell r="BD131">
            <v>3918.183</v>
          </cell>
          <cell r="BE131">
            <v>4023.2370000000001</v>
          </cell>
          <cell r="BF131">
            <v>4136.1019999999999</v>
          </cell>
          <cell r="BG131">
            <v>4254.5529999999999</v>
          </cell>
          <cell r="BH131">
            <v>4375.2299999999996</v>
          </cell>
          <cell r="BI131">
            <v>4495.5309999999999</v>
          </cell>
          <cell r="BJ131">
            <v>4614.6369999999997</v>
          </cell>
          <cell r="BK131">
            <v>4732.7849999999999</v>
          </cell>
          <cell r="BL131">
            <v>4849.6409999999996</v>
          </cell>
          <cell r="BM131">
            <v>4965.1049999999996</v>
          </cell>
          <cell r="BN131">
            <v>5078.9610000000002</v>
          </cell>
          <cell r="BO131">
            <v>5190.6660000000002</v>
          </cell>
          <cell r="BP131">
            <v>5299.5240000000003</v>
          </cell>
          <cell r="BQ131">
            <v>5405.009</v>
          </cell>
          <cell r="BR131">
            <v>5506.5860000000002</v>
          </cell>
          <cell r="BS131">
            <v>5603.74</v>
          </cell>
        </row>
        <row r="132">
          <cell r="E132">
            <v>764</v>
          </cell>
          <cell r="F132">
            <v>20710.356</v>
          </cell>
          <cell r="G132">
            <v>21263.203000000001</v>
          </cell>
          <cell r="H132">
            <v>21837.991000000002</v>
          </cell>
          <cell r="I132">
            <v>22436.536</v>
          </cell>
          <cell r="J132">
            <v>23060.429</v>
          </cell>
          <cell r="K132">
            <v>23711.041000000001</v>
          </cell>
          <cell r="L132">
            <v>24389.52</v>
          </cell>
          <cell r="M132">
            <v>25096.792000000001</v>
          </cell>
          <cell r="N132">
            <v>25833.554</v>
          </cell>
          <cell r="O132">
            <v>26600.276999999998</v>
          </cell>
          <cell r="P132">
            <v>27397.178</v>
          </cell>
          <cell r="Q132">
            <v>28224.207999999999</v>
          </cell>
          <cell r="R132">
            <v>29081.037</v>
          </cell>
          <cell r="S132">
            <v>29967.043000000001</v>
          </cell>
          <cell r="T132">
            <v>30881.331999999999</v>
          </cell>
          <cell r="U132">
            <v>31822.797999999999</v>
          </cell>
          <cell r="V132">
            <v>32789.097000000002</v>
          </cell>
          <cell r="W132">
            <v>33778.5</v>
          </cell>
          <cell r="X132">
            <v>34790.945</v>
          </cell>
          <cell r="Y132">
            <v>35826.803</v>
          </cell>
          <cell r="Z132">
            <v>36884.913999999997</v>
          </cell>
          <cell r="AA132">
            <v>37964.925000000003</v>
          </cell>
          <cell r="AB132">
            <v>39061.999000000003</v>
          </cell>
          <cell r="AC132">
            <v>40164.968999999997</v>
          </cell>
          <cell r="AD132">
            <v>41259.538999999997</v>
          </cell>
          <cell r="AE132">
            <v>42334.953999999998</v>
          </cell>
          <cell r="AF132">
            <v>43386.845999999998</v>
          </cell>
          <cell r="AG132">
            <v>44416.006999999998</v>
          </cell>
          <cell r="AH132">
            <v>45423.442000000003</v>
          </cell>
          <cell r="AI132">
            <v>46412.31</v>
          </cell>
          <cell r="AJ132">
            <v>47385.324999999997</v>
          </cell>
          <cell r="AK132">
            <v>48336.894</v>
          </cell>
          <cell r="AL132">
            <v>49265.597000000002</v>
          </cell>
          <cell r="AM132">
            <v>50183.106</v>
          </cell>
          <cell r="AN132">
            <v>51105.438000000002</v>
          </cell>
          <cell r="AO132">
            <v>52041.468000000001</v>
          </cell>
          <cell r="AP132">
            <v>53002.775000000001</v>
          </cell>
          <cell r="AQ132">
            <v>53979.502999999997</v>
          </cell>
          <cell r="AR132">
            <v>54933.561000000002</v>
          </cell>
          <cell r="AS132">
            <v>55812.794000000002</v>
          </cell>
          <cell r="AT132">
            <v>56582.824000000001</v>
          </cell>
          <cell r="AU132">
            <v>57225.972000000002</v>
          </cell>
          <cell r="AV132">
            <v>57761.574000000001</v>
          </cell>
          <cell r="AW132">
            <v>58237.671999999999</v>
          </cell>
          <cell r="AX132">
            <v>58722.767</v>
          </cell>
          <cell r="AY132">
            <v>59266.089</v>
          </cell>
          <cell r="AZ132">
            <v>59878.955000000002</v>
          </cell>
          <cell r="BA132">
            <v>60544.936999999998</v>
          </cell>
          <cell r="BB132">
            <v>61250.974000000002</v>
          </cell>
          <cell r="BC132">
            <v>61973.957000000002</v>
          </cell>
          <cell r="BD132">
            <v>62693.322</v>
          </cell>
          <cell r="BE132">
            <v>63415.173999999999</v>
          </cell>
          <cell r="BF132">
            <v>64136.669000000002</v>
          </cell>
          <cell r="BG132">
            <v>64817.254000000001</v>
          </cell>
          <cell r="BH132">
            <v>65404.521999999997</v>
          </cell>
          <cell r="BI132">
            <v>65863.972999999998</v>
          </cell>
          <cell r="BJ132">
            <v>66174.486000000004</v>
          </cell>
          <cell r="BK132">
            <v>66353.572</v>
          </cell>
          <cell r="BL132">
            <v>66453.255000000005</v>
          </cell>
          <cell r="BM132">
            <v>66548.197</v>
          </cell>
          <cell r="BN132">
            <v>66692.024000000005</v>
          </cell>
          <cell r="BO132">
            <v>66902.957999999999</v>
          </cell>
          <cell r="BP132">
            <v>67164.13</v>
          </cell>
          <cell r="BQ132">
            <v>67451.422000000006</v>
          </cell>
          <cell r="BR132">
            <v>67725.979000000007</v>
          </cell>
          <cell r="BS132">
            <v>67959.358999999997</v>
          </cell>
        </row>
        <row r="133">
          <cell r="E133">
            <v>626</v>
          </cell>
          <cell r="F133">
            <v>433.39800000000002</v>
          </cell>
          <cell r="G133">
            <v>438.19200000000001</v>
          </cell>
          <cell r="H133">
            <v>443.346</v>
          </cell>
          <cell r="I133">
            <v>448.89400000000001</v>
          </cell>
          <cell r="J133">
            <v>454.86</v>
          </cell>
          <cell r="K133">
            <v>461.25700000000001</v>
          </cell>
          <cell r="L133">
            <v>468.089</v>
          </cell>
          <cell r="M133">
            <v>475.35</v>
          </cell>
          <cell r="N133">
            <v>483.024</v>
          </cell>
          <cell r="O133">
            <v>491.09</v>
          </cell>
          <cell r="P133">
            <v>499.52499999999998</v>
          </cell>
          <cell r="Q133">
            <v>508.31099999999998</v>
          </cell>
          <cell r="R133">
            <v>517.44600000000003</v>
          </cell>
          <cell r="S133">
            <v>526.93600000000004</v>
          </cell>
          <cell r="T133">
            <v>536.798</v>
          </cell>
          <cell r="U133">
            <v>547.03499999999997</v>
          </cell>
          <cell r="V133">
            <v>557.25199999999995</v>
          </cell>
          <cell r="W133">
            <v>567.33000000000004</v>
          </cell>
          <cell r="X133">
            <v>577.82399999999996</v>
          </cell>
          <cell r="Y133">
            <v>589.51900000000001</v>
          </cell>
          <cell r="Z133">
            <v>602.73699999999997</v>
          </cell>
          <cell r="AA133">
            <v>618.50800000000004</v>
          </cell>
          <cell r="AB133">
            <v>636.1</v>
          </cell>
          <cell r="AC133">
            <v>652.01700000000005</v>
          </cell>
          <cell r="AD133">
            <v>661.52800000000002</v>
          </cell>
          <cell r="AE133">
            <v>661.63400000000001</v>
          </cell>
          <cell r="AF133">
            <v>650.49</v>
          </cell>
          <cell r="AG133">
            <v>630.15099999999995</v>
          </cell>
          <cell r="AH133">
            <v>606.29499999999996</v>
          </cell>
          <cell r="AI133">
            <v>586.88599999999997</v>
          </cell>
          <cell r="AJ133">
            <v>577.58000000000004</v>
          </cell>
          <cell r="AK133">
            <v>580.55600000000004</v>
          </cell>
          <cell r="AL133">
            <v>593.93700000000001</v>
          </cell>
          <cell r="AM133">
            <v>614.37900000000002</v>
          </cell>
          <cell r="AN133">
            <v>636.66999999999996</v>
          </cell>
          <cell r="AO133">
            <v>657.01800000000003</v>
          </cell>
          <cell r="AP133">
            <v>674.12800000000004</v>
          </cell>
          <cell r="AQ133">
            <v>689.17</v>
          </cell>
          <cell r="AR133">
            <v>703.69600000000003</v>
          </cell>
          <cell r="AS133">
            <v>720.19799999999998</v>
          </cell>
          <cell r="AT133">
            <v>740.23099999999999</v>
          </cell>
          <cell r="AU133">
            <v>764.88400000000001</v>
          </cell>
          <cell r="AV133">
            <v>792.846</v>
          </cell>
          <cell r="AW133">
            <v>820.471</v>
          </cell>
          <cell r="AX133">
            <v>842.75199999999995</v>
          </cell>
          <cell r="AY133">
            <v>856.43899999999996</v>
          </cell>
          <cell r="AZ133">
            <v>859.49599999999998</v>
          </cell>
          <cell r="BA133">
            <v>853.86699999999996</v>
          </cell>
          <cell r="BB133">
            <v>845.10599999999999</v>
          </cell>
          <cell r="BC133">
            <v>841.06299999999999</v>
          </cell>
          <cell r="BD133">
            <v>847.18499999999995</v>
          </cell>
          <cell r="BE133">
            <v>865.84799999999996</v>
          </cell>
          <cell r="BF133">
            <v>894.83699999999999</v>
          </cell>
          <cell r="BG133">
            <v>929.43100000000004</v>
          </cell>
          <cell r="BH133">
            <v>962.63400000000001</v>
          </cell>
          <cell r="BI133">
            <v>989.49699999999996</v>
          </cell>
          <cell r="BJ133">
            <v>1008.389</v>
          </cell>
          <cell r="BK133">
            <v>1021.235</v>
          </cell>
          <cell r="BL133">
            <v>1030.915</v>
          </cell>
          <cell r="BM133">
            <v>1041.827</v>
          </cell>
          <cell r="BN133">
            <v>1057.1220000000001</v>
          </cell>
          <cell r="BO133">
            <v>1077.6020000000001</v>
          </cell>
          <cell r="BP133">
            <v>1102.076</v>
          </cell>
          <cell r="BQ133">
            <v>1129.3150000000001</v>
          </cell>
          <cell r="BR133">
            <v>1157.3599999999999</v>
          </cell>
          <cell r="BS133">
            <v>1184.7650000000001</v>
          </cell>
        </row>
        <row r="134">
          <cell r="E134">
            <v>704</v>
          </cell>
          <cell r="F134">
            <v>24809.902999999998</v>
          </cell>
          <cell r="G134">
            <v>25364.453000000001</v>
          </cell>
          <cell r="H134">
            <v>25976.838</v>
          </cell>
          <cell r="I134">
            <v>26646.171999999999</v>
          </cell>
          <cell r="J134">
            <v>27370.699000000001</v>
          </cell>
          <cell r="K134">
            <v>28147.785</v>
          </cell>
          <cell r="L134">
            <v>28973.873</v>
          </cell>
          <cell r="M134">
            <v>29844.532999999999</v>
          </cell>
          <cell r="N134">
            <v>30754.602999999999</v>
          </cell>
          <cell r="O134">
            <v>31698.436000000002</v>
          </cell>
          <cell r="P134">
            <v>32670.623</v>
          </cell>
          <cell r="Q134">
            <v>33666.767999999996</v>
          </cell>
          <cell r="R134">
            <v>34684.163999999997</v>
          </cell>
          <cell r="S134">
            <v>35722.091999999997</v>
          </cell>
          <cell r="T134">
            <v>36780.983999999997</v>
          </cell>
          <cell r="U134">
            <v>37860.014000000003</v>
          </cell>
          <cell r="V134">
            <v>38959.334999999999</v>
          </cell>
          <cell r="W134">
            <v>40074.695</v>
          </cell>
          <cell r="X134">
            <v>41195.832999999999</v>
          </cell>
          <cell r="Y134">
            <v>42309.661999999997</v>
          </cell>
          <cell r="Z134">
            <v>43407.290999999997</v>
          </cell>
          <cell r="AA134">
            <v>44485.91</v>
          </cell>
          <cell r="AB134">
            <v>45549.487000000001</v>
          </cell>
          <cell r="AC134">
            <v>46604.726000000002</v>
          </cell>
          <cell r="AD134">
            <v>47661.77</v>
          </cell>
          <cell r="AE134">
            <v>48729.396999999997</v>
          </cell>
          <cell r="AF134">
            <v>49808.071000000004</v>
          </cell>
          <cell r="AG134">
            <v>50899.504000000001</v>
          </cell>
          <cell r="AH134">
            <v>52015.279000000002</v>
          </cell>
          <cell r="AI134">
            <v>53169.673999999999</v>
          </cell>
          <cell r="AJ134">
            <v>54372.517999999996</v>
          </cell>
          <cell r="AK134">
            <v>55627.743000000002</v>
          </cell>
          <cell r="AL134">
            <v>56931.822</v>
          </cell>
          <cell r="AM134">
            <v>58277.391000000003</v>
          </cell>
          <cell r="AN134">
            <v>59653.091999999997</v>
          </cell>
          <cell r="AO134">
            <v>61049.37</v>
          </cell>
          <cell r="AP134">
            <v>62459.557000000001</v>
          </cell>
          <cell r="AQ134">
            <v>63881.296000000002</v>
          </cell>
          <cell r="AR134">
            <v>65313.709000000003</v>
          </cell>
          <cell r="AS134">
            <v>66757.400999999998</v>
          </cell>
          <cell r="AT134">
            <v>68209.604000000007</v>
          </cell>
          <cell r="AU134">
            <v>69670.62</v>
          </cell>
          <cell r="AV134">
            <v>71129.536999999997</v>
          </cell>
          <cell r="AW134">
            <v>72558.986000000004</v>
          </cell>
          <cell r="AX134">
            <v>73923.849000000002</v>
          </cell>
          <cell r="AY134">
            <v>75198.975000000006</v>
          </cell>
          <cell r="AZ134">
            <v>76375.676999999996</v>
          </cell>
          <cell r="BA134">
            <v>77460.429000000004</v>
          </cell>
          <cell r="BB134">
            <v>78462.888000000006</v>
          </cell>
          <cell r="BC134">
            <v>79399.707999999999</v>
          </cell>
          <cell r="BD134">
            <v>80285.562999999995</v>
          </cell>
          <cell r="BE134">
            <v>81123.684999999998</v>
          </cell>
          <cell r="BF134">
            <v>81917.487999999998</v>
          </cell>
          <cell r="BG134">
            <v>82683.039000000004</v>
          </cell>
          <cell r="BH134">
            <v>83439.812000000005</v>
          </cell>
          <cell r="BI134">
            <v>84203.816999999995</v>
          </cell>
          <cell r="BJ134">
            <v>84979.667000000001</v>
          </cell>
          <cell r="BK134">
            <v>85770.717000000004</v>
          </cell>
          <cell r="BL134">
            <v>86589.342000000004</v>
          </cell>
          <cell r="BM134">
            <v>87449.020999999993</v>
          </cell>
          <cell r="BN134">
            <v>88357.774999999994</v>
          </cell>
          <cell r="BO134">
            <v>89321.903000000006</v>
          </cell>
          <cell r="BP134">
            <v>90335.547000000006</v>
          </cell>
          <cell r="BQ134">
            <v>91378.751999999993</v>
          </cell>
          <cell r="BR134">
            <v>92423.338000000003</v>
          </cell>
          <cell r="BS134">
            <v>93447.600999999995</v>
          </cell>
        </row>
        <row r="135">
          <cell r="E135">
            <v>922</v>
          </cell>
          <cell r="F135">
            <v>50957.440000000002</v>
          </cell>
          <cell r="G135">
            <v>52291.925000000003</v>
          </cell>
          <cell r="H135">
            <v>53682.436000000002</v>
          </cell>
          <cell r="I135">
            <v>55116.932000000001</v>
          </cell>
          <cell r="J135">
            <v>56587.103000000003</v>
          </cell>
          <cell r="K135">
            <v>58088.400999999998</v>
          </cell>
          <cell r="L135">
            <v>59620.203000000001</v>
          </cell>
          <cell r="M135">
            <v>61185.633999999998</v>
          </cell>
          <cell r="N135">
            <v>62791.017</v>
          </cell>
          <cell r="O135">
            <v>64444.97</v>
          </cell>
          <cell r="P135">
            <v>66155.619000000006</v>
          </cell>
          <cell r="Q135">
            <v>67927.706999999995</v>
          </cell>
          <cell r="R135">
            <v>69759.993000000002</v>
          </cell>
          <cell r="S135">
            <v>71644.172999999995</v>
          </cell>
          <cell r="T135">
            <v>73567.982999999993</v>
          </cell>
          <cell r="U135">
            <v>75524.384000000005</v>
          </cell>
          <cell r="V135">
            <v>77510.282000000007</v>
          </cell>
          <cell r="W135">
            <v>79534.085999999996</v>
          </cell>
          <cell r="X135">
            <v>81614.281000000003</v>
          </cell>
          <cell r="Y135">
            <v>83775.928</v>
          </cell>
          <cell r="Z135">
            <v>86037.494000000006</v>
          </cell>
          <cell r="AA135">
            <v>88407.481</v>
          </cell>
          <cell r="AB135">
            <v>90882.756999999998</v>
          </cell>
          <cell r="AC135">
            <v>93455.930999999997</v>
          </cell>
          <cell r="AD135">
            <v>96114.263999999996</v>
          </cell>
          <cell r="AE135">
            <v>98849.138000000006</v>
          </cell>
          <cell r="AF135">
            <v>101652.371</v>
          </cell>
          <cell r="AG135">
            <v>104528.22199999999</v>
          </cell>
          <cell r="AH135">
            <v>107494.40399999999</v>
          </cell>
          <cell r="AI135">
            <v>110575.674</v>
          </cell>
          <cell r="AJ135">
            <v>113785.77499999999</v>
          </cell>
          <cell r="AK135">
            <v>117133.807</v>
          </cell>
          <cell r="AL135">
            <v>120602.52099999999</v>
          </cell>
          <cell r="AM135">
            <v>124147.122</v>
          </cell>
          <cell r="AN135">
            <v>127706.675</v>
          </cell>
          <cell r="AO135">
            <v>131237.23300000001</v>
          </cell>
          <cell r="AP135">
            <v>134719.247</v>
          </cell>
          <cell r="AQ135">
            <v>138163.48699999999</v>
          </cell>
          <cell r="AR135">
            <v>141593.546</v>
          </cell>
          <cell r="AS135">
            <v>145047.39799999999</v>
          </cell>
          <cell r="AT135">
            <v>148551.929</v>
          </cell>
          <cell r="AU135">
            <v>152118.67300000001</v>
          </cell>
          <cell r="AV135">
            <v>155736.679</v>
          </cell>
          <cell r="AW135">
            <v>159384.45800000001</v>
          </cell>
          <cell r="AX135">
            <v>163030.52299999999</v>
          </cell>
          <cell r="AY135">
            <v>166655.663</v>
          </cell>
          <cell r="AZ135">
            <v>170262.39600000001</v>
          </cell>
          <cell r="BA135">
            <v>173871.079</v>
          </cell>
          <cell r="BB135">
            <v>177503.52600000001</v>
          </cell>
          <cell r="BC135">
            <v>181189.32800000001</v>
          </cell>
          <cell r="BD135">
            <v>184956.82500000001</v>
          </cell>
          <cell r="BE135">
            <v>188792.16800000001</v>
          </cell>
          <cell r="BF135">
            <v>192706.99299999999</v>
          </cell>
          <cell r="BG135">
            <v>196783.60699999999</v>
          </cell>
          <cell r="BH135">
            <v>201128.364</v>
          </cell>
          <cell r="BI135">
            <v>205806.35500000001</v>
          </cell>
          <cell r="BJ135">
            <v>210853.68900000001</v>
          </cell>
          <cell r="BK135">
            <v>216217.924</v>
          </cell>
          <cell r="BL135">
            <v>221764.67499999999</v>
          </cell>
          <cell r="BM135">
            <v>227306.42499999999</v>
          </cell>
          <cell r="BN135">
            <v>232702.72</v>
          </cell>
          <cell r="BO135">
            <v>237909.74100000001</v>
          </cell>
          <cell r="BP135">
            <v>242950</v>
          </cell>
          <cell r="BQ135">
            <v>247831.20800000001</v>
          </cell>
          <cell r="BR135">
            <v>252583.18100000001</v>
          </cell>
          <cell r="BS135">
            <v>257231.02</v>
          </cell>
        </row>
        <row r="136">
          <cell r="E136">
            <v>51</v>
          </cell>
          <cell r="F136">
            <v>1353.5060000000001</v>
          </cell>
          <cell r="G136">
            <v>1382.982</v>
          </cell>
          <cell r="H136">
            <v>1419.913</v>
          </cell>
          <cell r="I136">
            <v>1463.0170000000001</v>
          </cell>
          <cell r="J136">
            <v>1511.1880000000001</v>
          </cell>
          <cell r="K136">
            <v>1563.508</v>
          </cell>
          <cell r="L136">
            <v>1619.242</v>
          </cell>
          <cell r="M136">
            <v>1677.837</v>
          </cell>
          <cell r="N136">
            <v>1738.902</v>
          </cell>
          <cell r="O136">
            <v>1802.171</v>
          </cell>
          <cell r="P136">
            <v>1867.396</v>
          </cell>
          <cell r="Q136">
            <v>1934.239</v>
          </cell>
          <cell r="R136">
            <v>2002.17</v>
          </cell>
          <cell r="S136">
            <v>2070.4270000000001</v>
          </cell>
          <cell r="T136">
            <v>2138.1329999999998</v>
          </cell>
          <cell r="U136">
            <v>2204.65</v>
          </cell>
          <cell r="V136">
            <v>2269.4749999999999</v>
          </cell>
          <cell r="W136">
            <v>2332.6239999999998</v>
          </cell>
          <cell r="X136">
            <v>2394.6350000000002</v>
          </cell>
          <cell r="Y136">
            <v>2456.37</v>
          </cell>
          <cell r="Z136">
            <v>2518.4079999999999</v>
          </cell>
          <cell r="AA136">
            <v>2580.8939999999998</v>
          </cell>
          <cell r="AB136">
            <v>2643.4639999999999</v>
          </cell>
          <cell r="AC136">
            <v>2705.5839999999998</v>
          </cell>
          <cell r="AD136">
            <v>2766.4949999999999</v>
          </cell>
          <cell r="AE136">
            <v>2825.65</v>
          </cell>
          <cell r="AF136">
            <v>2882.8310000000001</v>
          </cell>
          <cell r="AG136">
            <v>2938.181</v>
          </cell>
          <cell r="AH136">
            <v>2991.9540000000002</v>
          </cell>
          <cell r="AI136">
            <v>3044.5639999999999</v>
          </cell>
          <cell r="AJ136">
            <v>3096.2979999999998</v>
          </cell>
          <cell r="AK136">
            <v>3145.8850000000002</v>
          </cell>
          <cell r="AL136">
            <v>3192.877</v>
          </cell>
          <cell r="AM136">
            <v>3239.212</v>
          </cell>
          <cell r="AN136">
            <v>3287.5880000000002</v>
          </cell>
          <cell r="AO136">
            <v>3339.1469999999999</v>
          </cell>
          <cell r="AP136">
            <v>3396.511</v>
          </cell>
          <cell r="AQ136">
            <v>3457.0540000000001</v>
          </cell>
          <cell r="AR136">
            <v>3510.4389999999999</v>
          </cell>
          <cell r="AS136">
            <v>3542.72</v>
          </cell>
          <cell r="AT136">
            <v>3544.6950000000002</v>
          </cell>
          <cell r="AU136">
            <v>3511.9119999999998</v>
          </cell>
          <cell r="AV136">
            <v>3449.4969999999998</v>
          </cell>
          <cell r="AW136">
            <v>3369.6729999999998</v>
          </cell>
          <cell r="AX136">
            <v>3289.9430000000002</v>
          </cell>
          <cell r="AY136">
            <v>3223.1729999999998</v>
          </cell>
          <cell r="AZ136">
            <v>3173.4250000000002</v>
          </cell>
          <cell r="BA136">
            <v>3137.652</v>
          </cell>
          <cell r="BB136">
            <v>3112.9580000000001</v>
          </cell>
          <cell r="BC136">
            <v>3093.82</v>
          </cell>
          <cell r="BD136">
            <v>3076.098</v>
          </cell>
          <cell r="BE136">
            <v>3060.0360000000001</v>
          </cell>
          <cell r="BF136">
            <v>3047.2489999999998</v>
          </cell>
          <cell r="BG136">
            <v>3036.42</v>
          </cell>
          <cell r="BH136">
            <v>3025.982</v>
          </cell>
          <cell r="BI136">
            <v>3014.9169999999999</v>
          </cell>
          <cell r="BJ136">
            <v>3002.1610000000001</v>
          </cell>
          <cell r="BK136">
            <v>2988.1170000000002</v>
          </cell>
          <cell r="BL136">
            <v>2975.029</v>
          </cell>
          <cell r="BM136">
            <v>2966.1080000000002</v>
          </cell>
          <cell r="BN136">
            <v>2963.4960000000001</v>
          </cell>
          <cell r="BO136">
            <v>2967.9839999999999</v>
          </cell>
          <cell r="BP136">
            <v>2978.3389999999999</v>
          </cell>
          <cell r="BQ136">
            <v>2992.192</v>
          </cell>
          <cell r="BR136">
            <v>3006.154</v>
          </cell>
          <cell r="BS136">
            <v>3017.712</v>
          </cell>
        </row>
        <row r="137">
          <cell r="E137">
            <v>31</v>
          </cell>
          <cell r="F137">
            <v>2895.9969999999998</v>
          </cell>
          <cell r="G137">
            <v>2965.3380000000002</v>
          </cell>
          <cell r="H137">
            <v>3045.4290000000001</v>
          </cell>
          <cell r="I137">
            <v>3133.703</v>
          </cell>
          <cell r="J137">
            <v>3228.2330000000002</v>
          </cell>
          <cell r="K137">
            <v>3327.7330000000002</v>
          </cell>
          <cell r="L137">
            <v>3431.5970000000002</v>
          </cell>
          <cell r="M137">
            <v>3539.8580000000002</v>
          </cell>
          <cell r="N137">
            <v>3653.0830000000001</v>
          </cell>
          <cell r="O137">
            <v>3772.1869999999999</v>
          </cell>
          <cell r="P137">
            <v>3897.8890000000001</v>
          </cell>
          <cell r="Q137">
            <v>4030.13</v>
          </cell>
          <cell r="R137">
            <v>4167.558</v>
          </cell>
          <cell r="S137">
            <v>4307.3149999999996</v>
          </cell>
          <cell r="T137">
            <v>4445.6530000000002</v>
          </cell>
          <cell r="U137">
            <v>4579.759</v>
          </cell>
          <cell r="V137">
            <v>4708.4849999999997</v>
          </cell>
          <cell r="W137">
            <v>4832.098</v>
          </cell>
          <cell r="X137">
            <v>4950.9769999999999</v>
          </cell>
          <cell r="Y137">
            <v>5066.08</v>
          </cell>
          <cell r="Z137">
            <v>5178.16</v>
          </cell>
          <cell r="AA137">
            <v>5287.2719999999999</v>
          </cell>
          <cell r="AB137">
            <v>5393.1760000000004</v>
          </cell>
          <cell r="AC137">
            <v>5496.0609999999997</v>
          </cell>
          <cell r="AD137">
            <v>5596.16</v>
          </cell>
          <cell r="AE137">
            <v>5693.7960000000003</v>
          </cell>
          <cell r="AF137">
            <v>5789.05</v>
          </cell>
          <cell r="AG137">
            <v>5882.3950000000004</v>
          </cell>
          <cell r="AH137">
            <v>5975.0450000000001</v>
          </cell>
          <cell r="AI137">
            <v>6068.5309999999999</v>
          </cell>
          <cell r="AJ137">
            <v>6163.99</v>
          </cell>
          <cell r="AK137">
            <v>6261.942</v>
          </cell>
          <cell r="AL137">
            <v>6362.2889999999998</v>
          </cell>
          <cell r="AM137">
            <v>6464.7749999999996</v>
          </cell>
          <cell r="AN137">
            <v>6568.857</v>
          </cell>
          <cell r="AO137">
            <v>6674.107</v>
          </cell>
          <cell r="AP137">
            <v>6779.97</v>
          </cell>
          <cell r="AQ137">
            <v>6886.4279999999999</v>
          </cell>
          <cell r="AR137">
            <v>6994.1390000000001</v>
          </cell>
          <cell r="AS137">
            <v>7104.058</v>
          </cell>
          <cell r="AT137">
            <v>7216.5029999999997</v>
          </cell>
          <cell r="AU137">
            <v>7332.5190000000002</v>
          </cell>
          <cell r="AV137">
            <v>7450.92</v>
          </cell>
          <cell r="AW137">
            <v>7567.1559999999999</v>
          </cell>
          <cell r="AX137">
            <v>7675.1279999999997</v>
          </cell>
          <cell r="AY137">
            <v>7770.8059999999996</v>
          </cell>
          <cell r="AZ137">
            <v>7852.2870000000003</v>
          </cell>
          <cell r="BA137">
            <v>7921.7889999999998</v>
          </cell>
          <cell r="BB137">
            <v>7984.5309999999999</v>
          </cell>
          <cell r="BC137">
            <v>8047.9970000000003</v>
          </cell>
          <cell r="BD137">
            <v>8117.7420000000002</v>
          </cell>
          <cell r="BE137">
            <v>8195.6479999999992</v>
          </cell>
          <cell r="BF137">
            <v>8280.5990000000002</v>
          </cell>
          <cell r="BG137">
            <v>8371.5360000000001</v>
          </cell>
          <cell r="BH137">
            <v>8466.3040000000001</v>
          </cell>
          <cell r="BI137">
            <v>8563.3979999999992</v>
          </cell>
          <cell r="BJ137">
            <v>8662.1370000000006</v>
          </cell>
          <cell r="BK137">
            <v>8763.3590000000004</v>
          </cell>
          <cell r="BL137">
            <v>8868.7129999999997</v>
          </cell>
          <cell r="BM137">
            <v>8980.4879999999994</v>
          </cell>
          <cell r="BN137">
            <v>9099.893</v>
          </cell>
          <cell r="BO137">
            <v>9227.5120000000006</v>
          </cell>
          <cell r="BP137">
            <v>9361.4770000000008</v>
          </cell>
          <cell r="BQ137">
            <v>9497.4959999999992</v>
          </cell>
          <cell r="BR137">
            <v>9629.7790000000005</v>
          </cell>
          <cell r="BS137">
            <v>9753.9680000000008</v>
          </cell>
        </row>
        <row r="138">
          <cell r="E138">
            <v>48</v>
          </cell>
          <cell r="F138">
            <v>115.614</v>
          </cell>
          <cell r="G138">
            <v>116.919</v>
          </cell>
          <cell r="H138">
            <v>119.68899999999999</v>
          </cell>
          <cell r="I138">
            <v>123.593</v>
          </cell>
          <cell r="J138">
            <v>128.333</v>
          </cell>
          <cell r="K138">
            <v>133.65299999999999</v>
          </cell>
          <cell r="L138">
            <v>139.33199999999999</v>
          </cell>
          <cell r="M138">
            <v>145.185</v>
          </cell>
          <cell r="N138">
            <v>151.06700000000001</v>
          </cell>
          <cell r="O138">
            <v>156.86500000000001</v>
          </cell>
          <cell r="P138">
            <v>162.501</v>
          </cell>
          <cell r="Q138">
            <v>167.92400000000001</v>
          </cell>
          <cell r="R138">
            <v>173.107</v>
          </cell>
          <cell r="S138">
            <v>178.048</v>
          </cell>
          <cell r="T138">
            <v>182.774</v>
          </cell>
          <cell r="U138">
            <v>187.34800000000001</v>
          </cell>
          <cell r="V138">
            <v>191.78200000000001</v>
          </cell>
          <cell r="W138">
            <v>196.203</v>
          </cell>
          <cell r="X138">
            <v>200.953</v>
          </cell>
          <cell r="Y138">
            <v>206.46899999999999</v>
          </cell>
          <cell r="Z138">
            <v>213.102</v>
          </cell>
          <cell r="AA138">
            <v>220.80799999999999</v>
          </cell>
          <cell r="AB138">
            <v>229.58799999999999</v>
          </cell>
          <cell r="AC138">
            <v>239.86</v>
          </cell>
          <cell r="AD138">
            <v>252.13900000000001</v>
          </cell>
          <cell r="AE138">
            <v>266.68599999999998</v>
          </cell>
          <cell r="AF138">
            <v>283.84300000000002</v>
          </cell>
          <cell r="AG138">
            <v>303.23599999999999</v>
          </cell>
          <cell r="AH138">
            <v>323.51100000000002</v>
          </cell>
          <cell r="AI138">
            <v>342.82900000000001</v>
          </cell>
          <cell r="AJ138">
            <v>359.90199999999999</v>
          </cell>
          <cell r="AK138">
            <v>374.125</v>
          </cell>
          <cell r="AL138">
            <v>385.95</v>
          </cell>
          <cell r="AM138">
            <v>396.447</v>
          </cell>
          <cell r="AN138">
            <v>407.22300000000001</v>
          </cell>
          <cell r="AO138">
            <v>419.42500000000001</v>
          </cell>
          <cell r="AP138">
            <v>433.48700000000002</v>
          </cell>
          <cell r="AQ138">
            <v>448.99400000000003</v>
          </cell>
          <cell r="AR138">
            <v>465.23500000000001</v>
          </cell>
          <cell r="AS138">
            <v>481.12599999999998</v>
          </cell>
          <cell r="AT138">
            <v>495.94400000000002</v>
          </cell>
          <cell r="AU138">
            <v>509.654</v>
          </cell>
          <cell r="AV138">
            <v>522.74800000000005</v>
          </cell>
          <cell r="AW138">
            <v>535.69200000000001</v>
          </cell>
          <cell r="AX138">
            <v>549.15099999999995</v>
          </cell>
          <cell r="AY138">
            <v>563.73</v>
          </cell>
          <cell r="AZ138">
            <v>579.85500000000002</v>
          </cell>
          <cell r="BA138">
            <v>597.83399999999995</v>
          </cell>
          <cell r="BB138">
            <v>618.05399999999997</v>
          </cell>
          <cell r="BC138">
            <v>640.904</v>
          </cell>
          <cell r="BD138">
            <v>666.85500000000002</v>
          </cell>
          <cell r="BE138">
            <v>694.89300000000003</v>
          </cell>
          <cell r="BF138">
            <v>725.36500000000001</v>
          </cell>
          <cell r="BG138">
            <v>761.59500000000003</v>
          </cell>
          <cell r="BH138">
            <v>807.98900000000003</v>
          </cell>
          <cell r="BI138">
            <v>867.01400000000001</v>
          </cell>
          <cell r="BJ138">
            <v>940.80799999999999</v>
          </cell>
          <cell r="BK138">
            <v>1026.568</v>
          </cell>
          <cell r="BL138">
            <v>1115.777</v>
          </cell>
          <cell r="BM138">
            <v>1196.7739999999999</v>
          </cell>
          <cell r="BN138">
            <v>1261.319</v>
          </cell>
          <cell r="BO138">
            <v>1306.0139999999999</v>
          </cell>
          <cell r="BP138">
            <v>1333.577</v>
          </cell>
          <cell r="BQ138">
            <v>1349.4269999999999</v>
          </cell>
          <cell r="BR138">
            <v>1361.93</v>
          </cell>
          <cell r="BS138">
            <v>1377.2370000000001</v>
          </cell>
        </row>
        <row r="139">
          <cell r="E139">
            <v>196</v>
          </cell>
          <cell r="F139">
            <v>494.01400000000001</v>
          </cell>
          <cell r="G139">
            <v>500.37799999999999</v>
          </cell>
          <cell r="H139">
            <v>506.62700000000001</v>
          </cell>
          <cell r="I139">
            <v>513.43499999999995</v>
          </cell>
          <cell r="J139">
            <v>521.18700000000001</v>
          </cell>
          <cell r="K139">
            <v>529.971</v>
          </cell>
          <cell r="L139">
            <v>539.56600000000003</v>
          </cell>
          <cell r="M139">
            <v>549.45899999999995</v>
          </cell>
          <cell r="N139">
            <v>558.89499999999998</v>
          </cell>
          <cell r="O139">
            <v>566.97699999999998</v>
          </cell>
          <cell r="P139">
            <v>572.92899999999997</v>
          </cell>
          <cell r="Q139">
            <v>576.39499999999998</v>
          </cell>
          <cell r="R139">
            <v>577.69100000000003</v>
          </cell>
          <cell r="S139">
            <v>577.91200000000003</v>
          </cell>
          <cell r="T139">
            <v>578.62900000000002</v>
          </cell>
          <cell r="U139">
            <v>580.971</v>
          </cell>
          <cell r="V139">
            <v>585.31100000000004</v>
          </cell>
          <cell r="W139">
            <v>591.30399999999997</v>
          </cell>
          <cell r="X139">
            <v>598.49099999999999</v>
          </cell>
          <cell r="Y139">
            <v>606.11699999999996</v>
          </cell>
          <cell r="Z139">
            <v>613.61900000000003</v>
          </cell>
          <cell r="AA139">
            <v>620.86</v>
          </cell>
          <cell r="AB139">
            <v>628</v>
          </cell>
          <cell r="AC139">
            <v>635.10900000000004</v>
          </cell>
          <cell r="AD139">
            <v>642.33500000000004</v>
          </cell>
          <cell r="AE139">
            <v>649.755</v>
          </cell>
          <cell r="AF139">
            <v>657.52599999999995</v>
          </cell>
          <cell r="AG139">
            <v>665.52800000000002</v>
          </cell>
          <cell r="AH139">
            <v>673.25199999999995</v>
          </cell>
          <cell r="AI139">
            <v>680.01300000000003</v>
          </cell>
          <cell r="AJ139">
            <v>685.40599999999995</v>
          </cell>
          <cell r="AK139">
            <v>689.173</v>
          </cell>
          <cell r="AL139">
            <v>691.71100000000001</v>
          </cell>
          <cell r="AM139">
            <v>694.07399999999996</v>
          </cell>
          <cell r="AN139">
            <v>697.71699999999998</v>
          </cell>
          <cell r="AO139">
            <v>703.69299999999998</v>
          </cell>
          <cell r="AP139">
            <v>712.34</v>
          </cell>
          <cell r="AQ139">
            <v>723.38</v>
          </cell>
          <cell r="AR139">
            <v>736.47699999999998</v>
          </cell>
          <cell r="AS139">
            <v>751.04700000000003</v>
          </cell>
          <cell r="AT139">
            <v>766.61099999999999</v>
          </cell>
          <cell r="AU139">
            <v>783.13800000000003</v>
          </cell>
          <cell r="AV139">
            <v>800.66</v>
          </cell>
          <cell r="AW139">
            <v>818.81399999999996</v>
          </cell>
          <cell r="AX139">
            <v>837.16600000000005</v>
          </cell>
          <cell r="AY139">
            <v>855.38900000000001</v>
          </cell>
          <cell r="AZ139">
            <v>873.24599999999998</v>
          </cell>
          <cell r="BA139">
            <v>890.73299999999995</v>
          </cell>
          <cell r="BB139">
            <v>908.04</v>
          </cell>
          <cell r="BC139">
            <v>925.49099999999999</v>
          </cell>
          <cell r="BD139">
            <v>943.28700000000003</v>
          </cell>
          <cell r="BE139">
            <v>961.48199999999997</v>
          </cell>
          <cell r="BF139">
            <v>979.88300000000004</v>
          </cell>
          <cell r="BG139">
            <v>998.15</v>
          </cell>
          <cell r="BH139">
            <v>1015.827</v>
          </cell>
          <cell r="BI139">
            <v>1032.586</v>
          </cell>
          <cell r="BJ139">
            <v>1048.2929999999999</v>
          </cell>
          <cell r="BK139">
            <v>1063.04</v>
          </cell>
          <cell r="BL139">
            <v>1077.01</v>
          </cell>
          <cell r="BM139">
            <v>1090.4860000000001</v>
          </cell>
          <cell r="BN139">
            <v>1103.6849999999999</v>
          </cell>
          <cell r="BO139">
            <v>1116.644</v>
          </cell>
          <cell r="BP139">
            <v>1129.3030000000001</v>
          </cell>
          <cell r="BQ139">
            <v>1141.652</v>
          </cell>
          <cell r="BR139">
            <v>1153.6579999999999</v>
          </cell>
          <cell r="BS139">
            <v>1165.3</v>
          </cell>
        </row>
        <row r="140">
          <cell r="E140">
            <v>268</v>
          </cell>
          <cell r="F140">
            <v>3527.0039999999999</v>
          </cell>
          <cell r="G140">
            <v>3584.6979999999999</v>
          </cell>
          <cell r="H140">
            <v>3646.3209999999999</v>
          </cell>
          <cell r="I140">
            <v>3710.1320000000001</v>
          </cell>
          <cell r="J140">
            <v>3774.81</v>
          </cell>
          <cell r="K140">
            <v>3839.4639999999999</v>
          </cell>
          <cell r="L140">
            <v>3903.6469999999999</v>
          </cell>
          <cell r="M140">
            <v>3967.337</v>
          </cell>
          <cell r="N140">
            <v>4030.8739999999998</v>
          </cell>
          <cell r="O140">
            <v>4094.846</v>
          </cell>
          <cell r="P140">
            <v>4159.7690000000002</v>
          </cell>
          <cell r="Q140">
            <v>4225.7330000000002</v>
          </cell>
          <cell r="R140">
            <v>4292.1009999999997</v>
          </cell>
          <cell r="S140">
            <v>4357.3789999999999</v>
          </cell>
          <cell r="T140">
            <v>4419.5829999999996</v>
          </cell>
          <cell r="U140">
            <v>4477.3280000000004</v>
          </cell>
          <cell r="V140">
            <v>4529.9610000000002</v>
          </cell>
          <cell r="W140">
            <v>4577.9530000000004</v>
          </cell>
          <cell r="X140">
            <v>4622.4409999999998</v>
          </cell>
          <cell r="Y140">
            <v>4665.1459999999997</v>
          </cell>
          <cell r="Z140">
            <v>4707.3270000000002</v>
          </cell>
          <cell r="AA140">
            <v>4749.5439999999999</v>
          </cell>
          <cell r="AB140">
            <v>4791.4799999999996</v>
          </cell>
          <cell r="AC140">
            <v>4832.51</v>
          </cell>
          <cell r="AD140">
            <v>4871.634</v>
          </cell>
          <cell r="AE140">
            <v>4908.2650000000003</v>
          </cell>
          <cell r="AF140">
            <v>4942.018</v>
          </cell>
          <cell r="AG140">
            <v>4973.5420000000004</v>
          </cell>
          <cell r="AH140">
            <v>5004.5209999999997</v>
          </cell>
          <cell r="AI140">
            <v>5037.2370000000001</v>
          </cell>
          <cell r="AJ140">
            <v>5073.241</v>
          </cell>
          <cell r="AK140">
            <v>5111.7920000000004</v>
          </cell>
          <cell r="AL140">
            <v>5151.8500000000004</v>
          </cell>
          <cell r="AM140">
            <v>5194.0910000000003</v>
          </cell>
          <cell r="AN140">
            <v>5239.3519999999999</v>
          </cell>
          <cell r="AO140">
            <v>5287.3280000000004</v>
          </cell>
          <cell r="AP140">
            <v>5340.0609999999997</v>
          </cell>
          <cell r="AQ140">
            <v>5394.9979999999996</v>
          </cell>
          <cell r="AR140">
            <v>5441.7719999999999</v>
          </cell>
          <cell r="AS140">
            <v>5466.61</v>
          </cell>
          <cell r="AT140">
            <v>5460.3090000000002</v>
          </cell>
          <cell r="AU140">
            <v>5418.4489999999996</v>
          </cell>
          <cell r="AV140">
            <v>5345.6239999999998</v>
          </cell>
          <cell r="AW140">
            <v>5252.85</v>
          </cell>
          <cell r="AX140">
            <v>5156.0789999999997</v>
          </cell>
          <cell r="AY140">
            <v>5067.143</v>
          </cell>
          <cell r="AZ140">
            <v>4989.723</v>
          </cell>
          <cell r="BA140">
            <v>4921.2870000000003</v>
          </cell>
          <cell r="BB140">
            <v>4859.9539999999997</v>
          </cell>
          <cell r="BC140">
            <v>4801.6949999999997</v>
          </cell>
          <cell r="BD140">
            <v>4743.5910000000003</v>
          </cell>
          <cell r="BE140">
            <v>4685.7690000000002</v>
          </cell>
          <cell r="BF140">
            <v>4629.8530000000001</v>
          </cell>
          <cell r="BG140">
            <v>4575.9930000000004</v>
          </cell>
          <cell r="BH140">
            <v>4524.4440000000004</v>
          </cell>
          <cell r="BI140">
            <v>4475.2730000000001</v>
          </cell>
          <cell r="BJ140">
            <v>4429.1859999999997</v>
          </cell>
          <cell r="BK140">
            <v>4385.8850000000002</v>
          </cell>
          <cell r="BL140">
            <v>4343.29</v>
          </cell>
          <cell r="BM140">
            <v>4298.5910000000003</v>
          </cell>
          <cell r="BN140">
            <v>4250.1319999999996</v>
          </cell>
          <cell r="BO140">
            <v>4196.4009999999998</v>
          </cell>
          <cell r="BP140">
            <v>4138.92</v>
          </cell>
          <cell r="BQ140">
            <v>4082.7269999999999</v>
          </cell>
          <cell r="BR140">
            <v>4034.7739999999999</v>
          </cell>
          <cell r="BS140">
            <v>3999.8119999999999</v>
          </cell>
        </row>
        <row r="141">
          <cell r="E141">
            <v>368</v>
          </cell>
          <cell r="F141">
            <v>5719.1909999999998</v>
          </cell>
          <cell r="G141">
            <v>5901.5069999999996</v>
          </cell>
          <cell r="H141">
            <v>6065.0119999999997</v>
          </cell>
          <cell r="I141">
            <v>6216.13</v>
          </cell>
          <cell r="J141">
            <v>6360.4350000000004</v>
          </cell>
          <cell r="K141">
            <v>6502.6549999999997</v>
          </cell>
          <cell r="L141">
            <v>6646.6409999999996</v>
          </cell>
          <cell r="M141">
            <v>6795.3990000000003</v>
          </cell>
          <cell r="N141">
            <v>6951.16</v>
          </cell>
          <cell r="O141">
            <v>7115.509</v>
          </cell>
          <cell r="P141">
            <v>7289.759</v>
          </cell>
          <cell r="Q141">
            <v>7475.3540000000003</v>
          </cell>
          <cell r="R141">
            <v>7674.22</v>
          </cell>
          <cell r="S141">
            <v>7888.9139999999998</v>
          </cell>
          <cell r="T141">
            <v>8122.2</v>
          </cell>
          <cell r="U141">
            <v>8375.7909999999993</v>
          </cell>
          <cell r="V141">
            <v>8651.1669999999995</v>
          </cell>
          <cell r="W141">
            <v>8947.3989999999994</v>
          </cell>
          <cell r="X141">
            <v>9260.6849999999995</v>
          </cell>
          <cell r="Y141">
            <v>9585.5759999999991</v>
          </cell>
          <cell r="Z141">
            <v>9917.982</v>
          </cell>
          <cell r="AA141">
            <v>10255.904</v>
          </cell>
          <cell r="AB141">
            <v>10599.846</v>
          </cell>
          <cell r="AC141">
            <v>10951.169</v>
          </cell>
          <cell r="AD141">
            <v>11312.304</v>
          </cell>
          <cell r="AE141">
            <v>11684.584999999999</v>
          </cell>
          <cell r="AF141">
            <v>12068.195</v>
          </cell>
          <cell r="AG141">
            <v>12460.996999999999</v>
          </cell>
          <cell r="AH141">
            <v>12859.226000000001</v>
          </cell>
          <cell r="AI141">
            <v>13257.91</v>
          </cell>
          <cell r="AJ141">
            <v>13653.358</v>
          </cell>
          <cell r="AK141">
            <v>14046.272999999999</v>
          </cell>
          <cell r="AL141">
            <v>14437.661</v>
          </cell>
          <cell r="AM141">
            <v>14824.876</v>
          </cell>
          <cell r="AN141">
            <v>15204.745999999999</v>
          </cell>
          <cell r="AO141">
            <v>15576.396000000001</v>
          </cell>
          <cell r="AP141">
            <v>15937.864</v>
          </cell>
          <cell r="AQ141">
            <v>16293.718999999999</v>
          </cell>
          <cell r="AR141">
            <v>16657.707999999999</v>
          </cell>
          <cell r="AS141">
            <v>17048.167000000001</v>
          </cell>
          <cell r="AT141">
            <v>17478.455000000002</v>
          </cell>
          <cell r="AU141">
            <v>17952.909</v>
          </cell>
          <cell r="AV141">
            <v>18468.521000000001</v>
          </cell>
          <cell r="AW141">
            <v>19021.967000000001</v>
          </cell>
          <cell r="AX141">
            <v>19606.895</v>
          </cell>
          <cell r="AY141">
            <v>20217.758999999998</v>
          </cell>
          <cell r="AZ141">
            <v>20855.407999999999</v>
          </cell>
          <cell r="BA141">
            <v>21519.356</v>
          </cell>
          <cell r="BB141">
            <v>22200.834999999999</v>
          </cell>
          <cell r="BC141">
            <v>22888.6</v>
          </cell>
          <cell r="BD141">
            <v>23574.751</v>
          </cell>
          <cell r="BE141">
            <v>24258.794000000002</v>
          </cell>
          <cell r="BF141">
            <v>24943.793000000001</v>
          </cell>
          <cell r="BG141">
            <v>25630.425999999999</v>
          </cell>
          <cell r="BH141">
            <v>26320.53</v>
          </cell>
          <cell r="BI141">
            <v>27017.712</v>
          </cell>
          <cell r="BJ141">
            <v>27716.983</v>
          </cell>
          <cell r="BK141">
            <v>28423.538</v>
          </cell>
          <cell r="BL141">
            <v>29163.327000000001</v>
          </cell>
          <cell r="BM141">
            <v>29970.633999999998</v>
          </cell>
          <cell r="BN141">
            <v>30868.155999999999</v>
          </cell>
          <cell r="BO141">
            <v>31867.758000000002</v>
          </cell>
          <cell r="BP141">
            <v>32957.622000000003</v>
          </cell>
          <cell r="BQ141">
            <v>34107.366000000002</v>
          </cell>
          <cell r="BR141">
            <v>35273.292999999998</v>
          </cell>
          <cell r="BS141">
            <v>36423.394999999997</v>
          </cell>
        </row>
        <row r="142">
          <cell r="E142">
            <v>376</v>
          </cell>
          <cell r="F142">
            <v>1257.971</v>
          </cell>
          <cell r="G142">
            <v>1354.097</v>
          </cell>
          <cell r="H142">
            <v>1451.4929999999999</v>
          </cell>
          <cell r="I142">
            <v>1546.239</v>
          </cell>
          <cell r="J142">
            <v>1635.7860000000001</v>
          </cell>
          <cell r="K142">
            <v>1718.9549999999999</v>
          </cell>
          <cell r="L142">
            <v>1796.009</v>
          </cell>
          <cell r="M142">
            <v>1868.5809999999999</v>
          </cell>
          <cell r="N142">
            <v>1939.4490000000001</v>
          </cell>
          <cell r="O142">
            <v>2012.1579999999999</v>
          </cell>
          <cell r="P142">
            <v>2089.8910000000001</v>
          </cell>
          <cell r="Q142">
            <v>2174.2710000000002</v>
          </cell>
          <cell r="R142">
            <v>2264.3040000000001</v>
          </cell>
          <cell r="S142">
            <v>2355.9290000000001</v>
          </cell>
          <cell r="T142">
            <v>2443.297</v>
          </cell>
          <cell r="U142">
            <v>2522.5300000000002</v>
          </cell>
          <cell r="V142">
            <v>2591.5940000000001</v>
          </cell>
          <cell r="W142">
            <v>2652.6970000000001</v>
          </cell>
          <cell r="X142">
            <v>2711.3029999999999</v>
          </cell>
          <cell r="Y142">
            <v>2775.1619999999998</v>
          </cell>
          <cell r="Z142">
            <v>2849.623</v>
          </cell>
          <cell r="AA142">
            <v>2936.6680000000001</v>
          </cell>
          <cell r="AB142">
            <v>3033.9189999999999</v>
          </cell>
          <cell r="AC142">
            <v>3137.029</v>
          </cell>
          <cell r="AD142">
            <v>3239.5610000000001</v>
          </cell>
          <cell r="AE142">
            <v>3336.76</v>
          </cell>
          <cell r="AF142">
            <v>3427.6619999999998</v>
          </cell>
          <cell r="AG142">
            <v>3513.5160000000001</v>
          </cell>
          <cell r="AH142">
            <v>3594.47</v>
          </cell>
          <cell r="AI142">
            <v>3671.2640000000001</v>
          </cell>
          <cell r="AJ142">
            <v>3744.6669999999999</v>
          </cell>
          <cell r="AK142">
            <v>3815.27</v>
          </cell>
          <cell r="AL142">
            <v>3883.547</v>
          </cell>
          <cell r="AM142">
            <v>3950.241</v>
          </cell>
          <cell r="AN142">
            <v>4016.2289999999998</v>
          </cell>
          <cell r="AO142">
            <v>4082.7809999999999</v>
          </cell>
          <cell r="AP142">
            <v>4148.7640000000001</v>
          </cell>
          <cell r="AQ142">
            <v>4215.7560000000003</v>
          </cell>
          <cell r="AR142">
            <v>4290.8599999999997</v>
          </cell>
          <cell r="AS142">
            <v>4383.3410000000003</v>
          </cell>
          <cell r="AT142">
            <v>4499.1610000000001</v>
          </cell>
          <cell r="AU142">
            <v>4641.6000000000004</v>
          </cell>
          <cell r="AV142">
            <v>4806.9830000000002</v>
          </cell>
          <cell r="AW142">
            <v>4985.652</v>
          </cell>
          <cell r="AX142">
            <v>5163.9009999999998</v>
          </cell>
          <cell r="AY142">
            <v>5331.6220000000003</v>
          </cell>
          <cell r="AZ142">
            <v>5486.2190000000001</v>
          </cell>
          <cell r="BA142">
            <v>5630.0659999999998</v>
          </cell>
          <cell r="BB142">
            <v>5764.1970000000001</v>
          </cell>
          <cell r="BC142">
            <v>5891.2629999999999</v>
          </cell>
          <cell r="BD142">
            <v>6013.7110000000002</v>
          </cell>
          <cell r="BE142">
            <v>6129.98</v>
          </cell>
          <cell r="BF142">
            <v>6240.2150000000001</v>
          </cell>
          <cell r="BG142">
            <v>6350.7619999999997</v>
          </cell>
          <cell r="BH142">
            <v>6470.0450000000001</v>
          </cell>
          <cell r="BI142">
            <v>6603.6769999999997</v>
          </cell>
          <cell r="BJ142">
            <v>6754.8360000000002</v>
          </cell>
          <cell r="BK142">
            <v>6920.7619999999997</v>
          </cell>
          <cell r="BL142">
            <v>7093.808</v>
          </cell>
          <cell r="BM142">
            <v>7262.9639999999999</v>
          </cell>
          <cell r="BN142">
            <v>7420.3680000000004</v>
          </cell>
          <cell r="BO142">
            <v>7563.3339999999998</v>
          </cell>
          <cell r="BP142">
            <v>7694.5069999999996</v>
          </cell>
          <cell r="BQ142">
            <v>7817.8180000000002</v>
          </cell>
          <cell r="BR142">
            <v>7939.4830000000002</v>
          </cell>
          <cell r="BS142">
            <v>8064.0360000000001</v>
          </cell>
        </row>
        <row r="143">
          <cell r="E143">
            <v>400</v>
          </cell>
          <cell r="F143">
            <v>448.86099999999999</v>
          </cell>
          <cell r="G143">
            <v>503.11599999999999</v>
          </cell>
          <cell r="H143">
            <v>542.12300000000005</v>
          </cell>
          <cell r="I143">
            <v>574.88699999999994</v>
          </cell>
          <cell r="J143">
            <v>608.01700000000005</v>
          </cell>
          <cell r="K143">
            <v>645.72400000000005</v>
          </cell>
          <cell r="L143">
            <v>689.70500000000004</v>
          </cell>
          <cell r="M143">
            <v>739.26300000000003</v>
          </cell>
          <cell r="N143">
            <v>791.65800000000002</v>
          </cell>
          <cell r="O143">
            <v>842.721</v>
          </cell>
          <cell r="P143">
            <v>888.63199999999995</v>
          </cell>
          <cell r="Q143">
            <v>927.85</v>
          </cell>
          <cell r="R143">
            <v>962.78300000000002</v>
          </cell>
          <cell r="S143">
            <v>1000.506</v>
          </cell>
          <cell r="T143">
            <v>1050.7249999999999</v>
          </cell>
          <cell r="U143">
            <v>1119.798</v>
          </cell>
          <cell r="V143">
            <v>1210.9480000000001</v>
          </cell>
          <cell r="W143">
            <v>1320.414</v>
          </cell>
          <cell r="X143">
            <v>1438.9860000000001</v>
          </cell>
          <cell r="Y143">
            <v>1553.585</v>
          </cell>
          <cell r="Z143">
            <v>1654.769</v>
          </cell>
          <cell r="AA143">
            <v>1739.903</v>
          </cell>
          <cell r="AB143">
            <v>1811.87</v>
          </cell>
          <cell r="AC143">
            <v>1873.548</v>
          </cell>
          <cell r="AD143">
            <v>1929.9390000000001</v>
          </cell>
          <cell r="AE143">
            <v>1985.1210000000001</v>
          </cell>
          <cell r="AF143">
            <v>2039.114</v>
          </cell>
          <cell r="AG143">
            <v>2091.7159999999999</v>
          </cell>
          <cell r="AH143">
            <v>2146.6619999999998</v>
          </cell>
          <cell r="AI143">
            <v>2208.5619999999999</v>
          </cell>
          <cell r="AJ143">
            <v>2280.67</v>
          </cell>
          <cell r="AK143">
            <v>2365.665</v>
          </cell>
          <cell r="AL143">
            <v>2462.9679999999998</v>
          </cell>
          <cell r="AM143">
            <v>2568.5819999999999</v>
          </cell>
          <cell r="AN143">
            <v>2676.5149999999999</v>
          </cell>
          <cell r="AO143">
            <v>2782.8850000000002</v>
          </cell>
          <cell r="AP143">
            <v>2884.0650000000001</v>
          </cell>
          <cell r="AQ143">
            <v>2982.3490000000002</v>
          </cell>
          <cell r="AR143">
            <v>3086.6640000000002</v>
          </cell>
          <cell r="AS143">
            <v>3209.4659999999999</v>
          </cell>
          <cell r="AT143">
            <v>3358.453</v>
          </cell>
          <cell r="AU143">
            <v>3538.663</v>
          </cell>
          <cell r="AV143">
            <v>3743.944</v>
          </cell>
          <cell r="AW143">
            <v>3957.221</v>
          </cell>
          <cell r="AX143">
            <v>4154.8130000000001</v>
          </cell>
          <cell r="AY143">
            <v>4320.1580000000004</v>
          </cell>
          <cell r="AZ143">
            <v>4448.1130000000003</v>
          </cell>
          <cell r="BA143">
            <v>4545.2479999999996</v>
          </cell>
          <cell r="BB143">
            <v>4621.3289999999997</v>
          </cell>
          <cell r="BC143">
            <v>4691.402</v>
          </cell>
          <cell r="BD143">
            <v>4767.4759999999997</v>
          </cell>
          <cell r="BE143">
            <v>4850.2269999999999</v>
          </cell>
          <cell r="BF143">
            <v>4938.9350000000004</v>
          </cell>
          <cell r="BG143">
            <v>5042.5379999999996</v>
          </cell>
          <cell r="BH143">
            <v>5171.6329999999998</v>
          </cell>
          <cell r="BI143">
            <v>5332.982</v>
          </cell>
          <cell r="BJ143">
            <v>5530.2179999999998</v>
          </cell>
          <cell r="BK143">
            <v>5759.424</v>
          </cell>
          <cell r="BL143">
            <v>6010.0349999999999</v>
          </cell>
          <cell r="BM143">
            <v>6266.8649999999998</v>
          </cell>
          <cell r="BN143">
            <v>6517.9120000000003</v>
          </cell>
          <cell r="BO143">
            <v>6760.3710000000001</v>
          </cell>
          <cell r="BP143">
            <v>6994.451</v>
          </cell>
          <cell r="BQ143">
            <v>7214.8320000000003</v>
          </cell>
          <cell r="BR143">
            <v>7416.0829999999996</v>
          </cell>
          <cell r="BS143">
            <v>7594.5469999999996</v>
          </cell>
        </row>
        <row r="144">
          <cell r="E144">
            <v>414</v>
          </cell>
          <cell r="F144">
            <v>152.25</v>
          </cell>
          <cell r="G144">
            <v>163.63200000000001</v>
          </cell>
          <cell r="H144">
            <v>173.62200000000001</v>
          </cell>
          <cell r="I144">
            <v>181.95699999999999</v>
          </cell>
          <cell r="J144">
            <v>188.81100000000001</v>
          </cell>
          <cell r="K144">
            <v>194.79499999999999</v>
          </cell>
          <cell r="L144">
            <v>200.988</v>
          </cell>
          <cell r="M144">
            <v>208.90700000000001</v>
          </cell>
          <cell r="N144">
            <v>220.405</v>
          </cell>
          <cell r="O144">
            <v>237.51599999999999</v>
          </cell>
          <cell r="P144">
            <v>261.96199999999999</v>
          </cell>
          <cell r="Q144">
            <v>294.63900000000001</v>
          </cell>
          <cell r="R144">
            <v>335.161</v>
          </cell>
          <cell r="S144">
            <v>381.66500000000002</v>
          </cell>
          <cell r="T144">
            <v>431.36599999999999</v>
          </cell>
          <cell r="U144">
            <v>482.173</v>
          </cell>
          <cell r="V144">
            <v>533.52099999999996</v>
          </cell>
          <cell r="W144">
            <v>585.83100000000002</v>
          </cell>
          <cell r="X144">
            <v>639.16999999999996</v>
          </cell>
          <cell r="Y144">
            <v>693.87599999999998</v>
          </cell>
          <cell r="Z144">
            <v>750.18399999999997</v>
          </cell>
          <cell r="AA144">
            <v>807.9</v>
          </cell>
          <cell r="AB144">
            <v>866.74699999999996</v>
          </cell>
          <cell r="AC144">
            <v>926.81700000000001</v>
          </cell>
          <cell r="AD144">
            <v>988.26700000000005</v>
          </cell>
          <cell r="AE144">
            <v>1051.1869999999999</v>
          </cell>
          <cell r="AF144">
            <v>1115.463</v>
          </cell>
          <cell r="AG144">
            <v>1180.9390000000001</v>
          </cell>
          <cell r="AH144">
            <v>1247.597</v>
          </cell>
          <cell r="AI144">
            <v>1315.4280000000001</v>
          </cell>
          <cell r="AJ144">
            <v>1384.3420000000001</v>
          </cell>
          <cell r="AK144">
            <v>1452.383</v>
          </cell>
          <cell r="AL144">
            <v>1518.855</v>
          </cell>
          <cell r="AM144">
            <v>1586.2049999999999</v>
          </cell>
          <cell r="AN144">
            <v>1657.92</v>
          </cell>
          <cell r="AO144">
            <v>1735.32</v>
          </cell>
          <cell r="AP144">
            <v>1823.201</v>
          </cell>
          <cell r="AQ144">
            <v>1917.95</v>
          </cell>
          <cell r="AR144">
            <v>2002.645</v>
          </cell>
          <cell r="AS144">
            <v>2054.4430000000002</v>
          </cell>
          <cell r="AT144">
            <v>2058.8319999999999</v>
          </cell>
          <cell r="AU144">
            <v>2007.11</v>
          </cell>
          <cell r="AV144">
            <v>1909.096</v>
          </cell>
          <cell r="AW144">
            <v>1791.511</v>
          </cell>
          <cell r="AX144">
            <v>1691.8910000000001</v>
          </cell>
          <cell r="AY144">
            <v>1637.0309999999999</v>
          </cell>
          <cell r="AZ144">
            <v>1637.9059999999999</v>
          </cell>
          <cell r="BA144">
            <v>1686.2560000000001</v>
          </cell>
          <cell r="BB144">
            <v>1766.2470000000001</v>
          </cell>
          <cell r="BC144">
            <v>1853.152</v>
          </cell>
          <cell r="BD144">
            <v>1929.47</v>
          </cell>
          <cell r="BE144">
            <v>1990.0219999999999</v>
          </cell>
          <cell r="BF144">
            <v>2042.2149999999999</v>
          </cell>
          <cell r="BG144">
            <v>2095.9929999999999</v>
          </cell>
          <cell r="BH144">
            <v>2166.3440000000001</v>
          </cell>
          <cell r="BI144">
            <v>2263.6039999999998</v>
          </cell>
          <cell r="BJ144">
            <v>2389.498</v>
          </cell>
          <cell r="BK144">
            <v>2538.5909999999999</v>
          </cell>
          <cell r="BL144">
            <v>2705.29</v>
          </cell>
          <cell r="BM144">
            <v>2881.2429999999999</v>
          </cell>
          <cell r="BN144">
            <v>3059.473</v>
          </cell>
          <cell r="BO144">
            <v>3239.181</v>
          </cell>
          <cell r="BP144">
            <v>3419.5810000000001</v>
          </cell>
          <cell r="BQ144">
            <v>3593.6889999999999</v>
          </cell>
          <cell r="BR144">
            <v>3753.1210000000001</v>
          </cell>
          <cell r="BS144">
            <v>3892.1149999999998</v>
          </cell>
        </row>
        <row r="145">
          <cell r="E145">
            <v>422</v>
          </cell>
          <cell r="F145">
            <v>1334.6179999999999</v>
          </cell>
          <cell r="G145">
            <v>1358.22</v>
          </cell>
          <cell r="H145">
            <v>1392.7249999999999</v>
          </cell>
          <cell r="I145">
            <v>1434.845</v>
          </cell>
          <cell r="J145">
            <v>1481.96</v>
          </cell>
          <cell r="K145">
            <v>1532.1110000000001</v>
          </cell>
          <cell r="L145">
            <v>1584.0340000000001</v>
          </cell>
          <cell r="M145">
            <v>1637.126</v>
          </cell>
          <cell r="N145">
            <v>1691.366</v>
          </cell>
          <cell r="O145">
            <v>1747.163</v>
          </cell>
          <cell r="P145">
            <v>1804.9269999999999</v>
          </cell>
          <cell r="Q145">
            <v>1864.605</v>
          </cell>
          <cell r="R145">
            <v>1925.2760000000001</v>
          </cell>
          <cell r="S145">
            <v>1984.982</v>
          </cell>
          <cell r="T145">
            <v>2041.212</v>
          </cell>
          <cell r="U145">
            <v>2092.3539999999998</v>
          </cell>
          <cell r="V145">
            <v>2136.64</v>
          </cell>
          <cell r="W145">
            <v>2174.85</v>
          </cell>
          <cell r="X145">
            <v>2210.9650000000001</v>
          </cell>
          <cell r="Y145">
            <v>2250.6089999999999</v>
          </cell>
          <cell r="Z145">
            <v>2297.4029999999998</v>
          </cell>
          <cell r="AA145">
            <v>2353.569</v>
          </cell>
          <cell r="AB145">
            <v>2416.7429999999999</v>
          </cell>
          <cell r="AC145">
            <v>2480.4259999999999</v>
          </cell>
          <cell r="AD145">
            <v>2535.5030000000002</v>
          </cell>
          <cell r="AE145">
            <v>2575.6930000000002</v>
          </cell>
          <cell r="AF145">
            <v>2598.3620000000001</v>
          </cell>
          <cell r="AG145">
            <v>2606.2240000000002</v>
          </cell>
          <cell r="AH145">
            <v>2604.875</v>
          </cell>
          <cell r="AI145">
            <v>2602.5729999999999</v>
          </cell>
          <cell r="AJ145">
            <v>2605.2939999999999</v>
          </cell>
          <cell r="AK145">
            <v>2615.7530000000002</v>
          </cell>
          <cell r="AL145">
            <v>2632.2809999999999</v>
          </cell>
          <cell r="AM145">
            <v>2651.2950000000001</v>
          </cell>
          <cell r="AN145">
            <v>2667.2289999999998</v>
          </cell>
          <cell r="AO145">
            <v>2676.5929999999998</v>
          </cell>
          <cell r="AP145">
            <v>2677.29</v>
          </cell>
          <cell r="AQ145">
            <v>2672.1819999999998</v>
          </cell>
          <cell r="AR145">
            <v>2668.5929999999998</v>
          </cell>
          <cell r="AS145">
            <v>2676.6149999999998</v>
          </cell>
          <cell r="AT145">
            <v>2703.0189999999998</v>
          </cell>
          <cell r="AU145">
            <v>2752.473</v>
          </cell>
          <cell r="AV145">
            <v>2821.8679999999999</v>
          </cell>
          <cell r="AW145">
            <v>2900.8620000000001</v>
          </cell>
          <cell r="AX145">
            <v>2974.6469999999999</v>
          </cell>
          <cell r="AY145">
            <v>3033.4059999999999</v>
          </cell>
          <cell r="AZ145">
            <v>3070.9740000000002</v>
          </cell>
          <cell r="BA145">
            <v>3092.6840000000002</v>
          </cell>
          <cell r="BB145">
            <v>3113.96</v>
          </cell>
          <cell r="BC145">
            <v>3156.6610000000001</v>
          </cell>
          <cell r="BD145">
            <v>3235.38</v>
          </cell>
          <cell r="BE145">
            <v>3359.875</v>
          </cell>
          <cell r="BF145">
            <v>3522.8420000000001</v>
          </cell>
          <cell r="BG145">
            <v>3701.4639999999999</v>
          </cell>
          <cell r="BH145">
            <v>3863.2710000000002</v>
          </cell>
          <cell r="BI145">
            <v>3986.8649999999998</v>
          </cell>
          <cell r="BJ145">
            <v>4057.0410000000002</v>
          </cell>
          <cell r="BK145">
            <v>4085.4259999999999</v>
          </cell>
          <cell r="BL145">
            <v>4109.3890000000001</v>
          </cell>
          <cell r="BM145">
            <v>4181.7420000000002</v>
          </cell>
          <cell r="BN145">
            <v>4337.1559999999999</v>
          </cell>
          <cell r="BO145">
            <v>4591.6980000000003</v>
          </cell>
          <cell r="BP145">
            <v>4924.2569999999996</v>
          </cell>
          <cell r="BQ145">
            <v>5286.99</v>
          </cell>
          <cell r="BR145">
            <v>5612.0959999999995</v>
          </cell>
          <cell r="BS145">
            <v>5850.7430000000004</v>
          </cell>
        </row>
        <row r="146">
          <cell r="E146">
            <v>512</v>
          </cell>
          <cell r="F146">
            <v>456.41800000000001</v>
          </cell>
          <cell r="G146">
            <v>462.25700000000001</v>
          </cell>
          <cell r="H146">
            <v>469.35</v>
          </cell>
          <cell r="I146">
            <v>477.43700000000001</v>
          </cell>
          <cell r="J146">
            <v>486.31</v>
          </cell>
          <cell r="K146">
            <v>495.82400000000001</v>
          </cell>
          <cell r="L146">
            <v>505.88900000000001</v>
          </cell>
          <cell r="M146">
            <v>516.47299999999996</v>
          </cell>
          <cell r="N146">
            <v>527.59799999999996</v>
          </cell>
          <cell r="O146">
            <v>539.327</v>
          </cell>
          <cell r="P146">
            <v>551.73699999999997</v>
          </cell>
          <cell r="Q146">
            <v>564.89499999999998</v>
          </cell>
          <cell r="R146">
            <v>578.82500000000005</v>
          </cell>
          <cell r="S146">
            <v>593.50400000000002</v>
          </cell>
          <cell r="T146">
            <v>608.88900000000001</v>
          </cell>
          <cell r="U146">
            <v>625.00699999999995</v>
          </cell>
          <cell r="V146">
            <v>642.005</v>
          </cell>
          <cell r="W146">
            <v>660.11699999999996</v>
          </cell>
          <cell r="X146">
            <v>679.59299999999996</v>
          </cell>
          <cell r="Y146">
            <v>700.72900000000004</v>
          </cell>
          <cell r="Z146">
            <v>723.85</v>
          </cell>
          <cell r="AA146">
            <v>748.971</v>
          </cell>
          <cell r="AB146">
            <v>776.37900000000002</v>
          </cell>
          <cell r="AC146">
            <v>806.98900000000003</v>
          </cell>
          <cell r="AD146">
            <v>841.947</v>
          </cell>
          <cell r="AE146">
            <v>882.04399999999998</v>
          </cell>
          <cell r="AF146">
            <v>927.43899999999996</v>
          </cell>
          <cell r="AG146">
            <v>977.80600000000004</v>
          </cell>
          <cell r="AH146">
            <v>1032.799</v>
          </cell>
          <cell r="AI146">
            <v>1091.855</v>
          </cell>
          <cell r="AJ146">
            <v>1154.375</v>
          </cell>
          <cell r="AK146">
            <v>1220.548</v>
          </cell>
          <cell r="AL146">
            <v>1290.0070000000001</v>
          </cell>
          <cell r="AM146">
            <v>1360.921</v>
          </cell>
          <cell r="AN146">
            <v>1430.9259999999999</v>
          </cell>
          <cell r="AO146">
            <v>1498.4159999999999</v>
          </cell>
          <cell r="AP146">
            <v>1561.4929999999999</v>
          </cell>
          <cell r="AQ146">
            <v>1620.5730000000001</v>
          </cell>
          <cell r="AR146">
            <v>1679.0889999999999</v>
          </cell>
          <cell r="AS146">
            <v>1741.9649999999999</v>
          </cell>
          <cell r="AT146">
            <v>1812.1590000000001</v>
          </cell>
          <cell r="AU146">
            <v>1892.345</v>
          </cell>
          <cell r="AV146">
            <v>1979.914</v>
          </cell>
          <cell r="AW146">
            <v>2066.2640000000001</v>
          </cell>
          <cell r="AX146">
            <v>2139.5390000000002</v>
          </cell>
          <cell r="AY146">
            <v>2191.864</v>
          </cell>
          <cell r="AZ146">
            <v>2219.768</v>
          </cell>
          <cell r="BA146">
            <v>2227.596</v>
          </cell>
          <cell r="BB146">
            <v>2224.922</v>
          </cell>
          <cell r="BC146">
            <v>2225.4810000000002</v>
          </cell>
          <cell r="BD146">
            <v>2239.4029999999998</v>
          </cell>
          <cell r="BE146">
            <v>2272.547</v>
          </cell>
          <cell r="BF146">
            <v>2323.203</v>
          </cell>
          <cell r="BG146">
            <v>2385.0749999999998</v>
          </cell>
          <cell r="BH146">
            <v>2448.194</v>
          </cell>
          <cell r="BI146">
            <v>2506.8910000000001</v>
          </cell>
          <cell r="BJ146">
            <v>2553.3760000000002</v>
          </cell>
          <cell r="BK146">
            <v>2593.75</v>
          </cell>
          <cell r="BL146">
            <v>2652.2809999999999</v>
          </cell>
          <cell r="BM146">
            <v>2762.0729999999999</v>
          </cell>
          <cell r="BN146">
            <v>2943.7469999999998</v>
          </cell>
          <cell r="BO146">
            <v>3210.0030000000002</v>
          </cell>
          <cell r="BP146">
            <v>3545.192</v>
          </cell>
          <cell r="BQ146">
            <v>3906.9119999999998</v>
          </cell>
          <cell r="BR146">
            <v>4236.0569999999998</v>
          </cell>
          <cell r="BS146">
            <v>4490.5410000000002</v>
          </cell>
        </row>
        <row r="147">
          <cell r="E147">
            <v>634</v>
          </cell>
          <cell r="F147">
            <v>24.998999999999999</v>
          </cell>
          <cell r="G147">
            <v>27.475000000000001</v>
          </cell>
          <cell r="H147">
            <v>29.843</v>
          </cell>
          <cell r="I147">
            <v>32.029000000000003</v>
          </cell>
          <cell r="J147">
            <v>34.015999999999998</v>
          </cell>
          <cell r="K147">
            <v>35.835000000000001</v>
          </cell>
          <cell r="L147">
            <v>37.581000000000003</v>
          </cell>
          <cell r="M147">
            <v>39.402000000000001</v>
          </cell>
          <cell r="N147">
            <v>41.487000000000002</v>
          </cell>
          <cell r="O147">
            <v>44.058999999999997</v>
          </cell>
          <cell r="P147">
            <v>47.308999999999997</v>
          </cell>
          <cell r="Q147">
            <v>51.354999999999997</v>
          </cell>
          <cell r="R147">
            <v>56.186999999999998</v>
          </cell>
          <cell r="S147">
            <v>61.646999999999998</v>
          </cell>
          <cell r="T147">
            <v>67.486999999999995</v>
          </cell>
          <cell r="U147">
            <v>73.543000000000006</v>
          </cell>
          <cell r="V147">
            <v>79.734999999999999</v>
          </cell>
          <cell r="W147">
            <v>86.161000000000001</v>
          </cell>
          <cell r="X147">
            <v>93.043000000000006</v>
          </cell>
          <cell r="Y147">
            <v>100.697</v>
          </cell>
          <cell r="Z147">
            <v>109.32899999999999</v>
          </cell>
          <cell r="AA147">
            <v>119.246</v>
          </cell>
          <cell r="AB147">
            <v>130.37700000000001</v>
          </cell>
          <cell r="AC147">
            <v>142.11099999999999</v>
          </cell>
          <cell r="AD147">
            <v>153.59299999999999</v>
          </cell>
          <cell r="AE147">
            <v>164.333</v>
          </cell>
          <cell r="AF147">
            <v>173.75899999999999</v>
          </cell>
          <cell r="AG147">
            <v>182.37</v>
          </cell>
          <cell r="AH147">
            <v>192.018</v>
          </cell>
          <cell r="AI147">
            <v>205.244</v>
          </cell>
          <cell r="AJ147">
            <v>223.715</v>
          </cell>
          <cell r="AK147">
            <v>248.053</v>
          </cell>
          <cell r="AL147">
            <v>277.24200000000002</v>
          </cell>
          <cell r="AM147">
            <v>309.27600000000001</v>
          </cell>
          <cell r="AN147">
            <v>341.286</v>
          </cell>
          <cell r="AO147">
            <v>371.07100000000003</v>
          </cell>
          <cell r="AP147">
            <v>398.32600000000002</v>
          </cell>
          <cell r="AQ147">
            <v>423.327</v>
          </cell>
          <cell r="AR147">
            <v>445.20299999999997</v>
          </cell>
          <cell r="AS147">
            <v>463.06200000000001</v>
          </cell>
          <cell r="AT147">
            <v>476.47800000000001</v>
          </cell>
          <cell r="AU147">
            <v>485.11399999999998</v>
          </cell>
          <cell r="AV147">
            <v>489.66800000000001</v>
          </cell>
          <cell r="AW147">
            <v>492.12</v>
          </cell>
          <cell r="AX147">
            <v>495.17899999999997</v>
          </cell>
          <cell r="AY147">
            <v>501.01900000000001</v>
          </cell>
          <cell r="AZ147">
            <v>511.86399999999998</v>
          </cell>
          <cell r="BA147">
            <v>528.21299999999997</v>
          </cell>
          <cell r="BB147">
            <v>548.61800000000005</v>
          </cell>
          <cell r="BC147">
            <v>570.64300000000003</v>
          </cell>
          <cell r="BD147">
            <v>593.45299999999997</v>
          </cell>
          <cell r="BE147">
            <v>613.72</v>
          </cell>
          <cell r="BF147">
            <v>634.38800000000003</v>
          </cell>
          <cell r="BG147">
            <v>668.16499999999996</v>
          </cell>
          <cell r="BH147">
            <v>732.096</v>
          </cell>
          <cell r="BI147">
            <v>836.92399999999998</v>
          </cell>
          <cell r="BJ147">
            <v>988.44799999999998</v>
          </cell>
          <cell r="BK147">
            <v>1178.9549999999999</v>
          </cell>
          <cell r="BL147">
            <v>1388.962</v>
          </cell>
          <cell r="BM147">
            <v>1591.1510000000001</v>
          </cell>
          <cell r="BN147">
            <v>1765.5129999999999</v>
          </cell>
          <cell r="BO147">
            <v>1905.4369999999999</v>
          </cell>
          <cell r="BP147">
            <v>2015.624</v>
          </cell>
          <cell r="BQ147">
            <v>2101.288</v>
          </cell>
          <cell r="BR147">
            <v>2172.0650000000001</v>
          </cell>
          <cell r="BS147">
            <v>2235.355</v>
          </cell>
        </row>
        <row r="148">
          <cell r="E148">
            <v>682</v>
          </cell>
          <cell r="F148">
            <v>3121.3359999999998</v>
          </cell>
          <cell r="G148">
            <v>3198.5509999999999</v>
          </cell>
          <cell r="H148">
            <v>3283.299</v>
          </cell>
          <cell r="I148">
            <v>3372.6170000000002</v>
          </cell>
          <cell r="J148">
            <v>3464.5540000000001</v>
          </cell>
          <cell r="K148">
            <v>3558.1640000000002</v>
          </cell>
          <cell r="L148">
            <v>3653.5630000000001</v>
          </cell>
          <cell r="M148">
            <v>3751.8760000000002</v>
          </cell>
          <cell r="N148">
            <v>3855.0889999999999</v>
          </cell>
          <cell r="O148">
            <v>3965.8110000000001</v>
          </cell>
          <cell r="P148">
            <v>4086.5390000000002</v>
          </cell>
          <cell r="Q148">
            <v>4218.8789999999999</v>
          </cell>
          <cell r="R148">
            <v>4362.8630000000003</v>
          </cell>
          <cell r="S148">
            <v>4516.6629999999996</v>
          </cell>
          <cell r="T148">
            <v>4677.4089999999997</v>
          </cell>
          <cell r="U148">
            <v>4843.6350000000002</v>
          </cell>
          <cell r="V148">
            <v>5015.6719999999996</v>
          </cell>
          <cell r="W148">
            <v>5196.3490000000002</v>
          </cell>
          <cell r="X148">
            <v>5389.848</v>
          </cell>
          <cell r="Y148">
            <v>5601.6490000000003</v>
          </cell>
          <cell r="Z148">
            <v>5836.3940000000002</v>
          </cell>
          <cell r="AA148">
            <v>6096.1059999999998</v>
          </cell>
          <cell r="AB148">
            <v>6382.1059999999998</v>
          </cell>
          <cell r="AC148">
            <v>6697.4859999999999</v>
          </cell>
          <cell r="AD148">
            <v>7045.4769999999999</v>
          </cell>
          <cell r="AE148">
            <v>7428.7049999999999</v>
          </cell>
          <cell r="AF148">
            <v>7845.3</v>
          </cell>
          <cell r="AG148">
            <v>8295.384</v>
          </cell>
          <cell r="AH148">
            <v>8785.3259999999991</v>
          </cell>
          <cell r="AI148">
            <v>9323.2900000000009</v>
          </cell>
          <cell r="AJ148">
            <v>9912.9169999999995</v>
          </cell>
          <cell r="AK148">
            <v>10556.936</v>
          </cell>
          <cell r="AL148">
            <v>11247.084999999999</v>
          </cell>
          <cell r="AM148">
            <v>11962.244000000001</v>
          </cell>
          <cell r="AN148">
            <v>12674.089</v>
          </cell>
          <cell r="AO148">
            <v>13361.284</v>
          </cell>
          <cell r="AP148">
            <v>14016.569</v>
          </cell>
          <cell r="AQ148">
            <v>14642.353999999999</v>
          </cell>
          <cell r="AR148">
            <v>15239.174000000001</v>
          </cell>
          <cell r="AS148">
            <v>15810.98</v>
          </cell>
          <cell r="AT148">
            <v>16361.453</v>
          </cell>
          <cell r="AU148">
            <v>16890.555</v>
          </cell>
          <cell r="AV148">
            <v>17398.523000000001</v>
          </cell>
          <cell r="AW148">
            <v>17890.528999999999</v>
          </cell>
          <cell r="AX148">
            <v>18373.412</v>
          </cell>
          <cell r="AY148">
            <v>18853.669999999998</v>
          </cell>
          <cell r="AZ148">
            <v>19331.311000000002</v>
          </cell>
          <cell r="BA148">
            <v>19809.633000000002</v>
          </cell>
          <cell r="BB148">
            <v>20302.192999999999</v>
          </cell>
          <cell r="BC148">
            <v>20825.955000000002</v>
          </cell>
          <cell r="BD148">
            <v>21392.273000000001</v>
          </cell>
          <cell r="BE148">
            <v>22007.937000000002</v>
          </cell>
          <cell r="BF148">
            <v>22668.101999999999</v>
          </cell>
          <cell r="BG148">
            <v>23357.886999999999</v>
          </cell>
          <cell r="BH148">
            <v>24055.573</v>
          </cell>
          <cell r="BI148">
            <v>24745.23</v>
          </cell>
          <cell r="BJ148">
            <v>25419.993999999999</v>
          </cell>
          <cell r="BK148">
            <v>26083.522000000001</v>
          </cell>
          <cell r="BL148">
            <v>26742.842000000001</v>
          </cell>
          <cell r="BM148">
            <v>27409.491000000002</v>
          </cell>
          <cell r="BN148">
            <v>28090.647000000001</v>
          </cell>
          <cell r="BO148">
            <v>28788.437999999998</v>
          </cell>
          <cell r="BP148">
            <v>29496.046999999999</v>
          </cell>
          <cell r="BQ148">
            <v>30201.050999999999</v>
          </cell>
          <cell r="BR148">
            <v>30886.544999999998</v>
          </cell>
          <cell r="BS148">
            <v>31540.371999999999</v>
          </cell>
        </row>
        <row r="149">
          <cell r="E149">
            <v>275</v>
          </cell>
          <cell r="F149">
            <v>931.92600000000004</v>
          </cell>
          <cell r="G149">
            <v>923.75300000000004</v>
          </cell>
          <cell r="H149">
            <v>931.91899999999998</v>
          </cell>
          <cell r="I149">
            <v>948.79700000000003</v>
          </cell>
          <cell r="J149">
            <v>968.68100000000004</v>
          </cell>
          <cell r="K149">
            <v>987.79</v>
          </cell>
          <cell r="L149">
            <v>1004.36</v>
          </cell>
          <cell r="M149">
            <v>1018.549</v>
          </cell>
          <cell r="N149">
            <v>1032.1610000000001</v>
          </cell>
          <cell r="O149">
            <v>1048.183</v>
          </cell>
          <cell r="P149">
            <v>1069.3989999999999</v>
          </cell>
          <cell r="Q149">
            <v>1096.903</v>
          </cell>
          <cell r="R149">
            <v>1128.809</v>
          </cell>
          <cell r="S149">
            <v>1159.693</v>
          </cell>
          <cell r="T149">
            <v>1182.1679999999999</v>
          </cell>
          <cell r="U149">
            <v>1191.509</v>
          </cell>
          <cell r="V149">
            <v>1184.8219999999999</v>
          </cell>
          <cell r="W149">
            <v>1165.2</v>
          </cell>
          <cell r="X149">
            <v>1141.2170000000001</v>
          </cell>
          <cell r="Y149">
            <v>1124.9290000000001</v>
          </cell>
          <cell r="Z149">
            <v>1124.8430000000001</v>
          </cell>
          <cell r="AA149">
            <v>1144.297</v>
          </cell>
          <cell r="AB149">
            <v>1180.2729999999999</v>
          </cell>
          <cell r="AC149">
            <v>1227.1600000000001</v>
          </cell>
          <cell r="AD149">
            <v>1276.3679999999999</v>
          </cell>
          <cell r="AE149">
            <v>1321.6769999999999</v>
          </cell>
          <cell r="AF149">
            <v>1361.6120000000001</v>
          </cell>
          <cell r="AG149">
            <v>1398.2950000000001</v>
          </cell>
          <cell r="AH149">
            <v>1433.3820000000001</v>
          </cell>
          <cell r="AI149">
            <v>1469.73</v>
          </cell>
          <cell r="AJ149">
            <v>1509.4839999999999</v>
          </cell>
          <cell r="AK149">
            <v>1553.0940000000001</v>
          </cell>
          <cell r="AL149">
            <v>1599.96</v>
          </cell>
          <cell r="AM149">
            <v>1650.0139999999999</v>
          </cell>
          <cell r="AN149">
            <v>1702.9739999999999</v>
          </cell>
          <cell r="AO149">
            <v>1758.788</v>
          </cell>
          <cell r="AP149">
            <v>1817.336</v>
          </cell>
          <cell r="AQ149">
            <v>1879.2180000000001</v>
          </cell>
          <cell r="AR149">
            <v>1945.9469999999999</v>
          </cell>
          <cell r="AS149">
            <v>2019.4860000000001</v>
          </cell>
          <cell r="AT149">
            <v>2101.1559999999999</v>
          </cell>
          <cell r="AU149">
            <v>2190.7159999999999</v>
          </cell>
          <cell r="AV149">
            <v>2287.375</v>
          </cell>
          <cell r="AW149">
            <v>2391.0700000000002</v>
          </cell>
          <cell r="AX149">
            <v>2501.6129999999998</v>
          </cell>
          <cell r="AY149">
            <v>2618.2719999999999</v>
          </cell>
          <cell r="AZ149">
            <v>2742.127</v>
          </cell>
          <cell r="BA149">
            <v>2871.6370000000002</v>
          </cell>
          <cell r="BB149">
            <v>3000.3119999999999</v>
          </cell>
          <cell r="BC149">
            <v>3119.607</v>
          </cell>
          <cell r="BD149">
            <v>3223.7809999999999</v>
          </cell>
          <cell r="BE149">
            <v>3309.9780000000001</v>
          </cell>
          <cell r="BF149">
            <v>3380.9070000000002</v>
          </cell>
          <cell r="BG149">
            <v>3443.3330000000001</v>
          </cell>
          <cell r="BH149">
            <v>3507.096</v>
          </cell>
          <cell r="BI149">
            <v>3579.462</v>
          </cell>
          <cell r="BJ149">
            <v>3662.5610000000001</v>
          </cell>
          <cell r="BK149">
            <v>3754.6930000000002</v>
          </cell>
          <cell r="BL149">
            <v>3854.6669999999999</v>
          </cell>
          <cell r="BM149">
            <v>3959.9879999999998</v>
          </cell>
          <cell r="BN149">
            <v>4068.78</v>
          </cell>
          <cell r="BO149">
            <v>4181.1350000000002</v>
          </cell>
          <cell r="BP149">
            <v>4297.826</v>
          </cell>
          <cell r="BQ149">
            <v>4418.3410000000003</v>
          </cell>
          <cell r="BR149">
            <v>4542.0590000000002</v>
          </cell>
          <cell r="BS149">
            <v>4668.4660000000003</v>
          </cell>
        </row>
        <row r="150">
          <cell r="E150">
            <v>760</v>
          </cell>
          <cell r="F150">
            <v>3413.3290000000002</v>
          </cell>
          <cell r="G150">
            <v>3500.65</v>
          </cell>
          <cell r="H150">
            <v>3595.2269999999999</v>
          </cell>
          <cell r="I150">
            <v>3697.0410000000002</v>
          </cell>
          <cell r="J150">
            <v>3805.9850000000001</v>
          </cell>
          <cell r="K150">
            <v>3921.864</v>
          </cell>
          <cell r="L150">
            <v>4044.39</v>
          </cell>
          <cell r="M150">
            <v>4173.1850000000004</v>
          </cell>
          <cell r="N150">
            <v>4307.8090000000002</v>
          </cell>
          <cell r="O150">
            <v>4447.7969999999996</v>
          </cell>
          <cell r="P150">
            <v>4592.777</v>
          </cell>
          <cell r="Q150">
            <v>4742.5959999999995</v>
          </cell>
          <cell r="R150">
            <v>4897.4279999999999</v>
          </cell>
          <cell r="S150">
            <v>5057.8249999999998</v>
          </cell>
          <cell r="T150">
            <v>5224.5789999999997</v>
          </cell>
          <cell r="U150">
            <v>5398.3329999999996</v>
          </cell>
          <cell r="V150">
            <v>5579.2830000000004</v>
          </cell>
          <cell r="W150">
            <v>5767.4780000000001</v>
          </cell>
          <cell r="X150">
            <v>5963.2479999999996</v>
          </cell>
          <cell r="Y150">
            <v>6166.933</v>
          </cell>
          <cell r="Z150">
            <v>6378.8019999999997</v>
          </cell>
          <cell r="AA150">
            <v>6599.366</v>
          </cell>
          <cell r="AB150">
            <v>6828.7650000000003</v>
          </cell>
          <cell r="AC150">
            <v>7066.4740000000002</v>
          </cell>
          <cell r="AD150">
            <v>7311.6850000000004</v>
          </cell>
          <cell r="AE150">
            <v>7564</v>
          </cell>
          <cell r="AF150">
            <v>7822.61</v>
          </cell>
          <cell r="AG150">
            <v>8088.1480000000001</v>
          </cell>
          <cell r="AH150">
            <v>8363.3459999999995</v>
          </cell>
          <cell r="AI150">
            <v>8651.9040000000005</v>
          </cell>
          <cell r="AJ150">
            <v>8956.1560000000009</v>
          </cell>
          <cell r="AK150">
            <v>9277.2630000000008</v>
          </cell>
          <cell r="AL150">
            <v>9613.5169999999998</v>
          </cell>
          <cell r="AM150">
            <v>9960.8330000000005</v>
          </cell>
          <cell r="AN150">
            <v>10313.485000000001</v>
          </cell>
          <cell r="AO150">
            <v>10667.245000000001</v>
          </cell>
          <cell r="AP150">
            <v>11020.718000000001</v>
          </cell>
          <cell r="AQ150">
            <v>11374.772000000001</v>
          </cell>
          <cell r="AR150">
            <v>11730.217000000001</v>
          </cell>
          <cell r="AS150">
            <v>12088.714</v>
          </cell>
          <cell r="AT150">
            <v>12451.539000000001</v>
          </cell>
          <cell r="AU150">
            <v>12817.578</v>
          </cell>
          <cell r="AV150">
            <v>13186.187</v>
          </cell>
          <cell r="AW150">
            <v>13559.642</v>
          </cell>
          <cell r="AX150">
            <v>13941.025</v>
          </cell>
          <cell r="AY150">
            <v>14331.962</v>
          </cell>
          <cell r="AZ150">
            <v>14736.209000000001</v>
          </cell>
          <cell r="BA150">
            <v>15151.962</v>
          </cell>
          <cell r="BB150">
            <v>15568.797</v>
          </cell>
          <cell r="BC150">
            <v>15972.43</v>
          </cell>
          <cell r="BD150">
            <v>16354.05</v>
          </cell>
          <cell r="BE150">
            <v>16694.414000000001</v>
          </cell>
          <cell r="BF150">
            <v>16997.521000000001</v>
          </cell>
          <cell r="BG150">
            <v>17304.339</v>
          </cell>
          <cell r="BH150">
            <v>17671.913</v>
          </cell>
          <cell r="BI150">
            <v>18132.842000000001</v>
          </cell>
          <cell r="BJ150">
            <v>18728.2</v>
          </cell>
          <cell r="BK150">
            <v>19425.597000000002</v>
          </cell>
          <cell r="BL150">
            <v>20097.057000000001</v>
          </cell>
          <cell r="BM150">
            <v>20566.870999999999</v>
          </cell>
          <cell r="BN150">
            <v>20720.601999999999</v>
          </cell>
          <cell r="BO150">
            <v>20501.167000000001</v>
          </cell>
          <cell r="BP150">
            <v>19978.756000000001</v>
          </cell>
          <cell r="BQ150">
            <v>19322.593000000001</v>
          </cell>
          <cell r="BR150">
            <v>18772.481</v>
          </cell>
          <cell r="BS150">
            <v>18502.413</v>
          </cell>
        </row>
        <row r="151">
          <cell r="E151">
            <v>792</v>
          </cell>
          <cell r="F151">
            <v>21238.495999999999</v>
          </cell>
          <cell r="G151">
            <v>21806.355</v>
          </cell>
          <cell r="H151">
            <v>22393.931</v>
          </cell>
          <cell r="I151">
            <v>22999.018</v>
          </cell>
          <cell r="J151">
            <v>23619.469000000001</v>
          </cell>
          <cell r="K151">
            <v>24253.200000000001</v>
          </cell>
          <cell r="L151">
            <v>24898.17</v>
          </cell>
          <cell r="M151">
            <v>25552.398000000001</v>
          </cell>
          <cell r="N151">
            <v>26214.022000000001</v>
          </cell>
          <cell r="O151">
            <v>26881.379000000001</v>
          </cell>
          <cell r="P151">
            <v>27553.279999999999</v>
          </cell>
          <cell r="Q151">
            <v>28229.291000000001</v>
          </cell>
          <cell r="R151">
            <v>28909.985000000001</v>
          </cell>
          <cell r="S151">
            <v>29597.046999999999</v>
          </cell>
          <cell r="T151">
            <v>30292.969000000001</v>
          </cell>
          <cell r="U151">
            <v>31000.167000000001</v>
          </cell>
          <cell r="V151">
            <v>31718.266</v>
          </cell>
          <cell r="W151">
            <v>32448.403999999999</v>
          </cell>
          <cell r="X151">
            <v>33196.288999999997</v>
          </cell>
          <cell r="Y151">
            <v>33969.201000000001</v>
          </cell>
          <cell r="Z151">
            <v>34772.031000000003</v>
          </cell>
          <cell r="AA151">
            <v>35608.078999999998</v>
          </cell>
          <cell r="AB151">
            <v>36475.356</v>
          </cell>
          <cell r="AC151">
            <v>37366.921999999999</v>
          </cell>
          <cell r="AD151">
            <v>38272.701000000001</v>
          </cell>
          <cell r="AE151">
            <v>39185.637000000002</v>
          </cell>
          <cell r="AF151">
            <v>40100.696000000004</v>
          </cell>
          <cell r="AG151">
            <v>41020.211000000003</v>
          </cell>
          <cell r="AH151">
            <v>41953.105000000003</v>
          </cell>
          <cell r="AI151">
            <v>42912.35</v>
          </cell>
          <cell r="AJ151">
            <v>43905.79</v>
          </cell>
          <cell r="AK151">
            <v>44936.836000000003</v>
          </cell>
          <cell r="AL151">
            <v>45997.94</v>
          </cell>
          <cell r="AM151">
            <v>47072.603000000003</v>
          </cell>
          <cell r="AN151">
            <v>48138.190999999999</v>
          </cell>
          <cell r="AO151">
            <v>49178.078999999998</v>
          </cell>
          <cell r="AP151">
            <v>50187.091</v>
          </cell>
          <cell r="AQ151">
            <v>51168.841</v>
          </cell>
          <cell r="AR151">
            <v>52126.497000000003</v>
          </cell>
          <cell r="AS151">
            <v>53066.569000000003</v>
          </cell>
          <cell r="AT151">
            <v>53994.605000000003</v>
          </cell>
          <cell r="AU151">
            <v>54909.508000000002</v>
          </cell>
          <cell r="AV151">
            <v>55811.133999999998</v>
          </cell>
          <cell r="AW151">
            <v>56707.453999999998</v>
          </cell>
          <cell r="AX151">
            <v>57608.769</v>
          </cell>
          <cell r="AY151">
            <v>58522.32</v>
          </cell>
          <cell r="AZ151">
            <v>59451.487999999998</v>
          </cell>
          <cell r="BA151">
            <v>60394.103999999999</v>
          </cell>
          <cell r="BB151">
            <v>61344.874000000003</v>
          </cell>
          <cell r="BC151">
            <v>62295.616999999998</v>
          </cell>
          <cell r="BD151">
            <v>63240.156999999999</v>
          </cell>
          <cell r="BE151">
            <v>64182.694000000003</v>
          </cell>
          <cell r="BF151">
            <v>65125.766000000003</v>
          </cell>
          <cell r="BG151">
            <v>66060.120999999999</v>
          </cell>
          <cell r="BH151">
            <v>66973.561000000002</v>
          </cell>
          <cell r="BI151">
            <v>67860.616999999998</v>
          </cell>
          <cell r="BJ151">
            <v>68704.721000000005</v>
          </cell>
          <cell r="BK151">
            <v>69515.491999999998</v>
          </cell>
          <cell r="BL151">
            <v>70344.357000000004</v>
          </cell>
          <cell r="BM151">
            <v>71261.307000000001</v>
          </cell>
          <cell r="BN151">
            <v>72310.415999999997</v>
          </cell>
          <cell r="BO151">
            <v>73517.001999999993</v>
          </cell>
          <cell r="BP151">
            <v>74849.187000000005</v>
          </cell>
          <cell r="BQ151">
            <v>76223.638999999996</v>
          </cell>
          <cell r="BR151">
            <v>77523.788</v>
          </cell>
          <cell r="BS151">
            <v>78665.83</v>
          </cell>
        </row>
        <row r="152">
          <cell r="E152">
            <v>784</v>
          </cell>
          <cell r="F152">
            <v>69.59</v>
          </cell>
          <cell r="G152">
            <v>67.971999999999994</v>
          </cell>
          <cell r="H152">
            <v>69.813000000000002</v>
          </cell>
          <cell r="I152">
            <v>73.183999999999997</v>
          </cell>
          <cell r="J152">
            <v>76.707999999999998</v>
          </cell>
          <cell r="K152">
            <v>79.566000000000003</v>
          </cell>
          <cell r="L152">
            <v>81.515000000000001</v>
          </cell>
          <cell r="M152">
            <v>82.87</v>
          </cell>
          <cell r="N152">
            <v>84.42</v>
          </cell>
          <cell r="O152">
            <v>87.302999999999997</v>
          </cell>
          <cell r="P152">
            <v>92.611999999999995</v>
          </cell>
          <cell r="Q152">
            <v>100.985</v>
          </cell>
          <cell r="R152">
            <v>112.24</v>
          </cell>
          <cell r="S152">
            <v>125.21599999999999</v>
          </cell>
          <cell r="T152">
            <v>138.22</v>
          </cell>
          <cell r="U152">
            <v>150.31800000000001</v>
          </cell>
          <cell r="V152">
            <v>161.077</v>
          </cell>
          <cell r="W152">
            <v>171.78100000000001</v>
          </cell>
          <cell r="X152">
            <v>185.31200000000001</v>
          </cell>
          <cell r="Y152">
            <v>205.57</v>
          </cell>
          <cell r="Z152">
            <v>235.434</v>
          </cell>
          <cell r="AA152">
            <v>275.16000000000003</v>
          </cell>
          <cell r="AB152">
            <v>324.06900000000002</v>
          </cell>
          <cell r="AC152">
            <v>382.82299999999998</v>
          </cell>
          <cell r="AD152">
            <v>451.94799999999998</v>
          </cell>
          <cell r="AE152">
            <v>531.26499999999999</v>
          </cell>
          <cell r="AF152">
            <v>622.05100000000004</v>
          </cell>
          <cell r="AG152">
            <v>722.84900000000005</v>
          </cell>
          <cell r="AH152">
            <v>827.39400000000001</v>
          </cell>
          <cell r="AI152">
            <v>927.303</v>
          </cell>
          <cell r="AJ152">
            <v>1016.789</v>
          </cell>
          <cell r="AK152">
            <v>1093.1079999999999</v>
          </cell>
          <cell r="AL152">
            <v>1158.4770000000001</v>
          </cell>
          <cell r="AM152">
            <v>1218.223</v>
          </cell>
          <cell r="AN152">
            <v>1280.278</v>
          </cell>
          <cell r="AO152">
            <v>1350.433</v>
          </cell>
          <cell r="AP152">
            <v>1430.548</v>
          </cell>
          <cell r="AQ152">
            <v>1518.991</v>
          </cell>
          <cell r="AR152">
            <v>1613.904</v>
          </cell>
          <cell r="AS152">
            <v>1712.117</v>
          </cell>
          <cell r="AT152">
            <v>1811.4580000000001</v>
          </cell>
          <cell r="AU152">
            <v>1913.19</v>
          </cell>
          <cell r="AV152">
            <v>2019.0139999999999</v>
          </cell>
          <cell r="AW152">
            <v>2127.8629999999998</v>
          </cell>
          <cell r="AX152">
            <v>2238.2809999999999</v>
          </cell>
          <cell r="AY152">
            <v>2350.192</v>
          </cell>
          <cell r="AZ152">
            <v>2467.7260000000001</v>
          </cell>
          <cell r="BA152">
            <v>2595.2199999999998</v>
          </cell>
          <cell r="BB152">
            <v>2733.77</v>
          </cell>
          <cell r="BC152">
            <v>2884.1880000000001</v>
          </cell>
          <cell r="BD152">
            <v>3050.1280000000002</v>
          </cell>
          <cell r="BE152">
            <v>3217.8649999999998</v>
          </cell>
          <cell r="BF152">
            <v>3394.06</v>
          </cell>
          <cell r="BG152">
            <v>3625.7979999999998</v>
          </cell>
          <cell r="BH152">
            <v>3975.9450000000002</v>
          </cell>
          <cell r="BI152">
            <v>4481.9759999999997</v>
          </cell>
          <cell r="BJ152">
            <v>5171.2550000000001</v>
          </cell>
          <cell r="BK152">
            <v>6010.1</v>
          </cell>
          <cell r="BL152">
            <v>6900.1419999999998</v>
          </cell>
          <cell r="BM152">
            <v>7705.4229999999998</v>
          </cell>
          <cell r="BN152">
            <v>8329.4529999999995</v>
          </cell>
          <cell r="BO152">
            <v>8734.7219999999998</v>
          </cell>
          <cell r="BP152">
            <v>8952.5419999999995</v>
          </cell>
          <cell r="BQ152">
            <v>9039.9779999999992</v>
          </cell>
          <cell r="BR152">
            <v>9086.1389999999992</v>
          </cell>
          <cell r="BS152">
            <v>9156.9629999999997</v>
          </cell>
        </row>
        <row r="153">
          <cell r="E153">
            <v>887</v>
          </cell>
          <cell r="F153">
            <v>4402.32</v>
          </cell>
          <cell r="G153">
            <v>4474.0249999999996</v>
          </cell>
          <cell r="H153">
            <v>4546.1000000000004</v>
          </cell>
          <cell r="I153">
            <v>4618.8710000000001</v>
          </cell>
          <cell r="J153">
            <v>4692.62</v>
          </cell>
          <cell r="K153">
            <v>4767.5889999999999</v>
          </cell>
          <cell r="L153">
            <v>4843.9740000000002</v>
          </cell>
          <cell r="M153">
            <v>4921.9290000000001</v>
          </cell>
          <cell r="N153">
            <v>5001.5720000000001</v>
          </cell>
          <cell r="O153">
            <v>5082.9979999999996</v>
          </cell>
          <cell r="P153">
            <v>5166.3109999999997</v>
          </cell>
          <cell r="Q153">
            <v>5251.6629999999996</v>
          </cell>
          <cell r="R153">
            <v>5339.2849999999999</v>
          </cell>
          <cell r="S153">
            <v>5429.5010000000002</v>
          </cell>
          <cell r="T153">
            <v>5522.69</v>
          </cell>
          <cell r="U153">
            <v>5619.17</v>
          </cell>
          <cell r="V153">
            <v>5720.5379999999996</v>
          </cell>
          <cell r="W153">
            <v>5827.223</v>
          </cell>
          <cell r="X153">
            <v>5937.125</v>
          </cell>
          <cell r="Y153">
            <v>6047.23</v>
          </cell>
          <cell r="Z153">
            <v>6156.2340000000004</v>
          </cell>
          <cell r="AA153">
            <v>6262.9340000000002</v>
          </cell>
          <cell r="AB153">
            <v>6370.5990000000002</v>
          </cell>
          <cell r="AC153">
            <v>6487.8530000000001</v>
          </cell>
          <cell r="AD153">
            <v>6626.2079999999996</v>
          </cell>
          <cell r="AE153">
            <v>6793.9790000000003</v>
          </cell>
          <cell r="AF153">
            <v>6994.84</v>
          </cell>
          <cell r="AG153">
            <v>7226.8850000000002</v>
          </cell>
          <cell r="AH153">
            <v>7485.9210000000003</v>
          </cell>
          <cell r="AI153">
            <v>7765.0870000000004</v>
          </cell>
          <cell r="AJ153">
            <v>8059.3810000000003</v>
          </cell>
          <cell r="AK153">
            <v>8369.7080000000005</v>
          </cell>
          <cell r="AL153">
            <v>8698.3040000000001</v>
          </cell>
          <cell r="AM153">
            <v>9043.2099999999991</v>
          </cell>
          <cell r="AN153">
            <v>9402.07</v>
          </cell>
          <cell r="AO153">
            <v>9774.2420000000002</v>
          </cell>
          <cell r="AP153">
            <v>10153.612999999999</v>
          </cell>
          <cell r="AQ153">
            <v>10542.601000000001</v>
          </cell>
          <cell r="AR153">
            <v>10958.983</v>
          </cell>
          <cell r="AS153">
            <v>11426.912</v>
          </cell>
          <cell r="AT153">
            <v>11961.099</v>
          </cell>
          <cell r="AU153">
            <v>12571.24</v>
          </cell>
          <cell r="AV153">
            <v>13245.003000000001</v>
          </cell>
          <cell r="AW153">
            <v>13948.118</v>
          </cell>
          <cell r="AX153">
            <v>14633.091</v>
          </cell>
          <cell r="AY153">
            <v>15266.147000000001</v>
          </cell>
          <cell r="AZ153">
            <v>15834.746999999999</v>
          </cell>
          <cell r="BA153">
            <v>16349.808999999999</v>
          </cell>
          <cell r="BB153">
            <v>16829.935000000001</v>
          </cell>
          <cell r="BC153">
            <v>17304.421999999999</v>
          </cell>
          <cell r="BD153">
            <v>17795.219000000001</v>
          </cell>
          <cell r="BE153">
            <v>18306.287</v>
          </cell>
          <cell r="BF153">
            <v>18832.097000000002</v>
          </cell>
          <cell r="BG153">
            <v>19374.011999999999</v>
          </cell>
          <cell r="BH153">
            <v>19931.616999999998</v>
          </cell>
          <cell r="BI153">
            <v>20504.384999999998</v>
          </cell>
          <cell r="BJ153">
            <v>21093.973000000002</v>
          </cell>
          <cell r="BK153">
            <v>21701.105</v>
          </cell>
          <cell r="BL153">
            <v>22322.699000000001</v>
          </cell>
          <cell r="BM153">
            <v>22954.225999999999</v>
          </cell>
          <cell r="BN153">
            <v>23591.972000000002</v>
          </cell>
          <cell r="BO153">
            <v>24234.94</v>
          </cell>
          <cell r="BP153">
            <v>24882.792000000001</v>
          </cell>
          <cell r="BQ153">
            <v>25533.217000000001</v>
          </cell>
          <cell r="BR153">
            <v>26183.675999999999</v>
          </cell>
          <cell r="BS153">
            <v>26832.215</v>
          </cell>
        </row>
        <row r="154">
          <cell r="E154">
            <v>908</v>
          </cell>
          <cell r="F154">
            <v>549089.10699999996</v>
          </cell>
          <cell r="G154">
            <v>554113.92599999998</v>
          </cell>
          <cell r="H154">
            <v>559525.16099999996</v>
          </cell>
          <cell r="I154">
            <v>565161.58700000006</v>
          </cell>
          <cell r="J154">
            <v>570901.70799999998</v>
          </cell>
          <cell r="K154">
            <v>576663.73699999996</v>
          </cell>
          <cell r="L154">
            <v>582407.66299999994</v>
          </cell>
          <cell r="M154">
            <v>588133.19900000002</v>
          </cell>
          <cell r="N154">
            <v>593873.62100000004</v>
          </cell>
          <cell r="O154">
            <v>599685.62300000002</v>
          </cell>
          <cell r="P154">
            <v>605618.56599999999</v>
          </cell>
          <cell r="Q154">
            <v>611681.87199999997</v>
          </cell>
          <cell r="R154">
            <v>617816.348</v>
          </cell>
          <cell r="S154">
            <v>623881.96699999995</v>
          </cell>
          <cell r="T154">
            <v>629692.58400000003</v>
          </cell>
          <cell r="U154">
            <v>635118.13199999998</v>
          </cell>
          <cell r="V154">
            <v>640095.27500000002</v>
          </cell>
          <cell r="W154">
            <v>644667.47900000005</v>
          </cell>
          <cell r="X154">
            <v>648943.69400000002</v>
          </cell>
          <cell r="Y154">
            <v>653088.62899999996</v>
          </cell>
          <cell r="Z154">
            <v>657221.446</v>
          </cell>
          <cell r="AA154">
            <v>661376.65899999999</v>
          </cell>
          <cell r="AB154">
            <v>665515.07799999998</v>
          </cell>
          <cell r="AC154">
            <v>669594.41899999999</v>
          </cell>
          <cell r="AD154">
            <v>673545.06900000002</v>
          </cell>
          <cell r="AE154">
            <v>677317.79200000002</v>
          </cell>
          <cell r="AF154">
            <v>680908.85100000002</v>
          </cell>
          <cell r="AG154">
            <v>684342.89399999997</v>
          </cell>
          <cell r="AH154">
            <v>687632.78799999994</v>
          </cell>
          <cell r="AI154">
            <v>690798.97199999995</v>
          </cell>
          <cell r="AJ154">
            <v>693859.43900000001</v>
          </cell>
          <cell r="AK154">
            <v>696802.01</v>
          </cell>
          <cell r="AL154">
            <v>699627.83499999996</v>
          </cell>
          <cell r="AM154">
            <v>702383.08600000001</v>
          </cell>
          <cell r="AN154">
            <v>705128.31</v>
          </cell>
          <cell r="AO154">
            <v>707898.95400000003</v>
          </cell>
          <cell r="AP154">
            <v>710710.84400000004</v>
          </cell>
          <cell r="AQ154">
            <v>713527.71200000006</v>
          </cell>
          <cell r="AR154">
            <v>716267.17</v>
          </cell>
          <cell r="AS154">
            <v>718815.86499999999</v>
          </cell>
          <cell r="AT154">
            <v>721086.31099999999</v>
          </cell>
          <cell r="AU154">
            <v>723078.93</v>
          </cell>
          <cell r="AV154">
            <v>724804.55900000001</v>
          </cell>
          <cell r="AW154">
            <v>726203.16299999994</v>
          </cell>
          <cell r="AX154">
            <v>727205.04399999999</v>
          </cell>
          <cell r="AY154">
            <v>727778.44</v>
          </cell>
          <cell r="AZ154">
            <v>727890.35400000005</v>
          </cell>
          <cell r="BA154">
            <v>727603.75899999996</v>
          </cell>
          <cell r="BB154">
            <v>727104.19299999997</v>
          </cell>
          <cell r="BC154">
            <v>726642.83900000004</v>
          </cell>
          <cell r="BD154">
            <v>726407.44799999997</v>
          </cell>
          <cell r="BE154">
            <v>726453.946</v>
          </cell>
          <cell r="BF154">
            <v>726753.42299999995</v>
          </cell>
          <cell r="BG154">
            <v>727301.26100000006</v>
          </cell>
          <cell r="BH154">
            <v>728064.36399999994</v>
          </cell>
          <cell r="BI154">
            <v>729007.47</v>
          </cell>
          <cell r="BJ154">
            <v>730152.30500000005</v>
          </cell>
          <cell r="BK154">
            <v>731487.69</v>
          </cell>
          <cell r="BL154">
            <v>732900.44200000004</v>
          </cell>
          <cell r="BM154">
            <v>734239.63699999999</v>
          </cell>
          <cell r="BN154">
            <v>735394.902</v>
          </cell>
          <cell r="BO154">
            <v>736315.57499999995</v>
          </cell>
          <cell r="BP154">
            <v>737021.81200000003</v>
          </cell>
          <cell r="BQ154">
            <v>737561.46299999999</v>
          </cell>
          <cell r="BR154">
            <v>738015.74300000002</v>
          </cell>
          <cell r="BS154">
            <v>738442.07</v>
          </cell>
        </row>
        <row r="155">
          <cell r="E155">
            <v>923</v>
          </cell>
          <cell r="F155">
            <v>220170.535</v>
          </cell>
          <cell r="G155">
            <v>223294.897</v>
          </cell>
          <cell r="H155">
            <v>226623.652</v>
          </cell>
          <cell r="I155">
            <v>230076.212</v>
          </cell>
          <cell r="J155">
            <v>233584.89300000001</v>
          </cell>
          <cell r="K155">
            <v>237094.91800000001</v>
          </cell>
          <cell r="L155">
            <v>240564.84899999999</v>
          </cell>
          <cell r="M155">
            <v>243966.152</v>
          </cell>
          <cell r="N155">
            <v>247281.90100000001</v>
          </cell>
          <cell r="O155">
            <v>250504.61499999999</v>
          </cell>
          <cell r="P155">
            <v>253629.774</v>
          </cell>
          <cell r="Q155">
            <v>256648.89499999999</v>
          </cell>
          <cell r="R155">
            <v>259543.481</v>
          </cell>
          <cell r="S155">
            <v>262282.42599999998</v>
          </cell>
          <cell r="T155">
            <v>264829.36499999999</v>
          </cell>
          <cell r="U155">
            <v>267164.29800000001</v>
          </cell>
          <cell r="V155">
            <v>269270.78200000001</v>
          </cell>
          <cell r="W155">
            <v>271171.196</v>
          </cell>
          <cell r="X155">
            <v>272933.61099999998</v>
          </cell>
          <cell r="Y155">
            <v>274651.891</v>
          </cell>
          <cell r="Z155">
            <v>276396.34299999999</v>
          </cell>
          <cell r="AA155">
            <v>278191.022</v>
          </cell>
          <cell r="AB155">
            <v>280025.57199999999</v>
          </cell>
          <cell r="AC155">
            <v>281893.39199999999</v>
          </cell>
          <cell r="AD155">
            <v>283775.51899999997</v>
          </cell>
          <cell r="AE155">
            <v>285657.05499999999</v>
          </cell>
          <cell r="AF155">
            <v>287538.24300000002</v>
          </cell>
          <cell r="AG155">
            <v>289424.29499999998</v>
          </cell>
          <cell r="AH155">
            <v>291309.06900000002</v>
          </cell>
          <cell r="AI155">
            <v>293184.55800000002</v>
          </cell>
          <cell r="AJ155">
            <v>295041.913</v>
          </cell>
          <cell r="AK155">
            <v>296866.348</v>
          </cell>
          <cell r="AL155">
            <v>298646.72200000001</v>
          </cell>
          <cell r="AM155">
            <v>300380.467</v>
          </cell>
          <cell r="AN155">
            <v>302067.38699999999</v>
          </cell>
          <cell r="AO155">
            <v>303699.147</v>
          </cell>
          <cell r="AP155">
            <v>305276.21999999997</v>
          </cell>
          <cell r="AQ155">
            <v>306771.68</v>
          </cell>
          <cell r="AR155">
            <v>308116.72600000002</v>
          </cell>
          <cell r="AS155">
            <v>309223.08199999999</v>
          </cell>
          <cell r="AT155">
            <v>310026.859</v>
          </cell>
          <cell r="AU155">
            <v>310509.636</v>
          </cell>
          <cell r="AV155">
            <v>310686.30699999997</v>
          </cell>
          <cell r="AW155">
            <v>310570.20299999998</v>
          </cell>
          <cell r="AX155">
            <v>310188.50900000002</v>
          </cell>
          <cell r="AY155">
            <v>309569.35200000001</v>
          </cell>
          <cell r="AZ155">
            <v>308722.24099999998</v>
          </cell>
          <cell r="BA155">
            <v>307665.397</v>
          </cell>
          <cell r="BB155">
            <v>306449.88500000001</v>
          </cell>
          <cell r="BC155">
            <v>305139.24099999998</v>
          </cell>
          <cell r="BD155">
            <v>303788.505</v>
          </cell>
          <cell r="BE155">
            <v>302416.60100000002</v>
          </cell>
          <cell r="BF155">
            <v>301043.33100000001</v>
          </cell>
          <cell r="BG155">
            <v>299724.20299999998</v>
          </cell>
          <cell r="BH155">
            <v>298522.30200000003</v>
          </cell>
          <cell r="BI155">
            <v>297481.98200000002</v>
          </cell>
          <cell r="BJ155">
            <v>296627.03100000002</v>
          </cell>
          <cell r="BK155">
            <v>295948.76</v>
          </cell>
          <cell r="BL155">
            <v>295415.71999999997</v>
          </cell>
          <cell r="BM155">
            <v>294977.23599999998</v>
          </cell>
          <cell r="BN155">
            <v>294591.16399999999</v>
          </cell>
          <cell r="BO155">
            <v>294249.97100000002</v>
          </cell>
          <cell r="BP155">
            <v>293950.37300000002</v>
          </cell>
          <cell r="BQ155">
            <v>293658.06900000002</v>
          </cell>
          <cell r="BR155">
            <v>293332.59700000001</v>
          </cell>
          <cell r="BS155">
            <v>292942.77799999999</v>
          </cell>
        </row>
        <row r="156">
          <cell r="E156">
            <v>112</v>
          </cell>
          <cell r="F156">
            <v>7745.0029999999997</v>
          </cell>
          <cell r="G156">
            <v>7717.7079999999996</v>
          </cell>
          <cell r="H156">
            <v>7711.027</v>
          </cell>
          <cell r="I156">
            <v>7724.1080000000002</v>
          </cell>
          <cell r="J156">
            <v>7755.576</v>
          </cell>
          <cell r="K156">
            <v>7803.5370000000003</v>
          </cell>
          <cell r="L156">
            <v>7865.54</v>
          </cell>
          <cell r="M156">
            <v>7938.6120000000001</v>
          </cell>
          <cell r="N156">
            <v>8019.3770000000004</v>
          </cell>
          <cell r="O156">
            <v>8104.2520000000004</v>
          </cell>
          <cell r="P156">
            <v>8190.027</v>
          </cell>
          <cell r="Q156">
            <v>8274.4860000000008</v>
          </cell>
          <cell r="R156">
            <v>8356.9560000000001</v>
          </cell>
          <cell r="S156">
            <v>8438.5349999999999</v>
          </cell>
          <cell r="T156">
            <v>8521.4330000000009</v>
          </cell>
          <cell r="U156">
            <v>8607.0310000000009</v>
          </cell>
          <cell r="V156">
            <v>8695.4330000000009</v>
          </cell>
          <cell r="W156">
            <v>8785.1380000000008</v>
          </cell>
          <cell r="X156">
            <v>8874.07</v>
          </cell>
          <cell r="Y156">
            <v>8959.4830000000002</v>
          </cell>
          <cell r="Z156">
            <v>9039.4359999999997</v>
          </cell>
          <cell r="AA156">
            <v>9113.2780000000002</v>
          </cell>
          <cell r="AB156">
            <v>9181.643</v>
          </cell>
          <cell r="AC156">
            <v>9245.5139999999992</v>
          </cell>
          <cell r="AD156">
            <v>9306.4719999999998</v>
          </cell>
          <cell r="AE156">
            <v>9365.83</v>
          </cell>
          <cell r="AF156">
            <v>9423.4210000000003</v>
          </cell>
          <cell r="AG156">
            <v>9479.2620000000006</v>
          </cell>
          <cell r="AH156">
            <v>9535.0689999999995</v>
          </cell>
          <cell r="AI156">
            <v>9593.0069999999996</v>
          </cell>
          <cell r="AJ156">
            <v>9654.4549999999999</v>
          </cell>
          <cell r="AK156">
            <v>9719.634</v>
          </cell>
          <cell r="AL156">
            <v>9787.5580000000009</v>
          </cell>
          <cell r="AM156">
            <v>9856.7800000000007</v>
          </cell>
          <cell r="AN156">
            <v>9925.2270000000008</v>
          </cell>
          <cell r="AO156">
            <v>9990.9660000000003</v>
          </cell>
          <cell r="AP156">
            <v>10053.975</v>
          </cell>
          <cell r="AQ156">
            <v>10113.450999999999</v>
          </cell>
          <cell r="AR156">
            <v>10165.745999999999</v>
          </cell>
          <cell r="AS156">
            <v>10206.299999999999</v>
          </cell>
          <cell r="AT156">
            <v>10231.983</v>
          </cell>
          <cell r="AU156">
            <v>10241.137000000001</v>
          </cell>
          <cell r="AV156">
            <v>10234.862999999999</v>
          </cell>
          <cell r="AW156">
            <v>10216.281000000001</v>
          </cell>
          <cell r="AX156">
            <v>10190.064</v>
          </cell>
          <cell r="AY156">
            <v>10159.731</v>
          </cell>
          <cell r="AZ156">
            <v>10126.941000000001</v>
          </cell>
          <cell r="BA156">
            <v>10091.181</v>
          </cell>
          <cell r="BB156">
            <v>10051.298000000001</v>
          </cell>
          <cell r="BC156">
            <v>10005.259</v>
          </cell>
          <cell r="BD156">
            <v>9952.0550000000003</v>
          </cell>
          <cell r="BE156">
            <v>9891.5349999999999</v>
          </cell>
          <cell r="BF156">
            <v>9825.8019999999997</v>
          </cell>
          <cell r="BG156">
            <v>9758.8169999999991</v>
          </cell>
          <cell r="BH156">
            <v>9695.7909999999993</v>
          </cell>
          <cell r="BI156">
            <v>9640.616</v>
          </cell>
          <cell r="BJ156">
            <v>9594.2330000000002</v>
          </cell>
          <cell r="BK156">
            <v>9556.0609999999997</v>
          </cell>
          <cell r="BL156">
            <v>9526.4529999999995</v>
          </cell>
          <cell r="BM156">
            <v>9505.3189999999995</v>
          </cell>
          <cell r="BN156">
            <v>9492.1219999999994</v>
          </cell>
          <cell r="BO156">
            <v>9487.6740000000009</v>
          </cell>
          <cell r="BP156">
            <v>9490.9619999999995</v>
          </cell>
          <cell r="BQ156">
            <v>9497.2939999999999</v>
          </cell>
          <cell r="BR156">
            <v>9500.4220000000005</v>
          </cell>
          <cell r="BS156">
            <v>9495.8259999999991</v>
          </cell>
        </row>
        <row r="157">
          <cell r="E157">
            <v>100</v>
          </cell>
          <cell r="F157">
            <v>7250.9989999999998</v>
          </cell>
          <cell r="G157">
            <v>7303.7730000000001</v>
          </cell>
          <cell r="H157">
            <v>7359.9970000000003</v>
          </cell>
          <cell r="I157">
            <v>7418.7650000000003</v>
          </cell>
          <cell r="J157">
            <v>7479.3670000000002</v>
          </cell>
          <cell r="K157">
            <v>7541.2950000000001</v>
          </cell>
          <cell r="L157">
            <v>7604.2510000000002</v>
          </cell>
          <cell r="M157">
            <v>7668.1390000000001</v>
          </cell>
          <cell r="N157">
            <v>7733.0259999999998</v>
          </cell>
          <cell r="O157">
            <v>7799.0950000000003</v>
          </cell>
          <cell r="P157">
            <v>7866.4719999999998</v>
          </cell>
          <cell r="Q157">
            <v>7935.058</v>
          </cell>
          <cell r="R157">
            <v>8004.3670000000002</v>
          </cell>
          <cell r="S157">
            <v>8073.4690000000001</v>
          </cell>
          <cell r="T157">
            <v>8141.1710000000003</v>
          </cell>
          <cell r="U157">
            <v>8206.5640000000003</v>
          </cell>
          <cell r="V157">
            <v>8269.1180000000004</v>
          </cell>
          <cell r="W157">
            <v>8328.8379999999997</v>
          </cell>
          <cell r="X157">
            <v>8386.0159999999996</v>
          </cell>
          <cell r="Y157">
            <v>8441.2139999999999</v>
          </cell>
          <cell r="Z157">
            <v>8494.7649999999994</v>
          </cell>
          <cell r="AA157">
            <v>8546.81</v>
          </cell>
          <cell r="AB157">
            <v>8596.9619999999995</v>
          </cell>
          <cell r="AC157">
            <v>8644.4189999999999</v>
          </cell>
          <cell r="AD157">
            <v>8688.1119999999992</v>
          </cell>
          <cell r="AE157">
            <v>8727.3320000000003</v>
          </cell>
          <cell r="AF157">
            <v>8761.2309999999998</v>
          </cell>
          <cell r="AG157">
            <v>8790.0720000000001</v>
          </cell>
          <cell r="AH157">
            <v>8815.5650000000005</v>
          </cell>
          <cell r="AI157">
            <v>8840.1309999999994</v>
          </cell>
          <cell r="AJ157">
            <v>8865.2350000000006</v>
          </cell>
          <cell r="AK157">
            <v>8891.2450000000008</v>
          </cell>
          <cell r="AL157">
            <v>8916.7129999999997</v>
          </cell>
          <cell r="AM157">
            <v>8939.0069999999996</v>
          </cell>
          <cell r="AN157">
            <v>8954.518</v>
          </cell>
          <cell r="AO157">
            <v>8960.3870000000006</v>
          </cell>
          <cell r="AP157">
            <v>8956.741</v>
          </cell>
          <cell r="AQ157">
            <v>8943.7209999999995</v>
          </cell>
          <cell r="AR157">
            <v>8918.66</v>
          </cell>
          <cell r="AS157">
            <v>8878.348</v>
          </cell>
          <cell r="AT157">
            <v>8821.1110000000008</v>
          </cell>
          <cell r="AU157">
            <v>8745.4079999999994</v>
          </cell>
          <cell r="AV157">
            <v>8653.527</v>
          </cell>
          <cell r="AW157">
            <v>8552.4290000000001</v>
          </cell>
          <cell r="AX157">
            <v>8451.6260000000002</v>
          </cell>
          <cell r="AY157">
            <v>8358.116</v>
          </cell>
          <cell r="AZ157">
            <v>8274.6620000000003</v>
          </cell>
          <cell r="BA157">
            <v>8199.9230000000007</v>
          </cell>
          <cell r="BB157">
            <v>8131.7430000000004</v>
          </cell>
          <cell r="BC157">
            <v>8066.2190000000001</v>
          </cell>
          <cell r="BD157">
            <v>8000.51</v>
          </cell>
          <cell r="BE157">
            <v>7934.3890000000001</v>
          </cell>
          <cell r="BF157">
            <v>7869.1239999999998</v>
          </cell>
          <cell r="BG157">
            <v>7805.0410000000002</v>
          </cell>
          <cell r="BH157">
            <v>7742.74</v>
          </cell>
          <cell r="BI157">
            <v>7682.6139999999996</v>
          </cell>
          <cell r="BJ157">
            <v>7624.6109999999999</v>
          </cell>
          <cell r="BK157">
            <v>7568.3779999999997</v>
          </cell>
          <cell r="BL157">
            <v>7513.6459999999997</v>
          </cell>
          <cell r="BM157">
            <v>7460.0569999999998</v>
          </cell>
          <cell r="BN157">
            <v>7407.2969999999996</v>
          </cell>
          <cell r="BO157">
            <v>7355.2309999999998</v>
          </cell>
          <cell r="BP157">
            <v>7303.741</v>
          </cell>
          <cell r="BQ157">
            <v>7252.5389999999998</v>
          </cell>
          <cell r="BR157">
            <v>7201.308</v>
          </cell>
          <cell r="BS157">
            <v>7149.7870000000003</v>
          </cell>
        </row>
        <row r="158">
          <cell r="E158">
            <v>203</v>
          </cell>
          <cell r="F158">
            <v>8902.6190000000006</v>
          </cell>
          <cell r="G158">
            <v>9005.0360000000001</v>
          </cell>
          <cell r="H158">
            <v>9106.2270000000008</v>
          </cell>
          <cell r="I158">
            <v>9200.24</v>
          </cell>
          <cell r="J158">
            <v>9283.1560000000009</v>
          </cell>
          <cell r="K158">
            <v>9353.0859999999993</v>
          </cell>
          <cell r="L158">
            <v>9410.2819999999992</v>
          </cell>
          <cell r="M158">
            <v>9457.027</v>
          </cell>
          <cell r="N158">
            <v>9497.3070000000007</v>
          </cell>
          <cell r="O158">
            <v>9536.268</v>
          </cell>
          <cell r="P158">
            <v>9578.5869999999995</v>
          </cell>
          <cell r="Q158">
            <v>9626.7270000000008</v>
          </cell>
          <cell r="R158">
            <v>9679.4159999999993</v>
          </cell>
          <cell r="S158">
            <v>9730.9959999999992</v>
          </cell>
          <cell r="T158">
            <v>9773.2659999999996</v>
          </cell>
          <cell r="U158">
            <v>9800.9310000000005</v>
          </cell>
          <cell r="V158">
            <v>9811.5400000000009</v>
          </cell>
          <cell r="W158">
            <v>9808.7279999999992</v>
          </cell>
          <cell r="X158">
            <v>9800.6650000000009</v>
          </cell>
          <cell r="Y158">
            <v>9798.7929999999997</v>
          </cell>
          <cell r="Z158">
            <v>9811.2909999999993</v>
          </cell>
          <cell r="AA158">
            <v>9840.2800000000007</v>
          </cell>
          <cell r="AB158">
            <v>9882.9930000000004</v>
          </cell>
          <cell r="AC158">
            <v>9936.6039999999994</v>
          </cell>
          <cell r="AD158">
            <v>9996.3559999999998</v>
          </cell>
          <cell r="AE158">
            <v>10058.165000000001</v>
          </cell>
          <cell r="AF158">
            <v>10122.450000000001</v>
          </cell>
          <cell r="AG158">
            <v>10188.839</v>
          </cell>
          <cell r="AH158">
            <v>10251.436</v>
          </cell>
          <cell r="AI158">
            <v>10302.778</v>
          </cell>
          <cell r="AJ158">
            <v>10337.826999999999</v>
          </cell>
          <cell r="AK158">
            <v>10353.75</v>
          </cell>
          <cell r="AL158">
            <v>10352.607</v>
          </cell>
          <cell r="AM158">
            <v>10340.397000000001</v>
          </cell>
          <cell r="AN158">
            <v>10325.923000000001</v>
          </cell>
          <cell r="AO158">
            <v>10315.675999999999</v>
          </cell>
          <cell r="AP158">
            <v>10311.35</v>
          </cell>
          <cell r="AQ158">
            <v>10311.293</v>
          </cell>
          <cell r="AR158">
            <v>10314.591</v>
          </cell>
          <cell r="AS158">
            <v>10319.254999999999</v>
          </cell>
          <cell r="AT158">
            <v>10323.700999999999</v>
          </cell>
          <cell r="AU158">
            <v>10328.44</v>
          </cell>
          <cell r="AV158">
            <v>10333.93</v>
          </cell>
          <cell r="AW158">
            <v>10338.380999999999</v>
          </cell>
          <cell r="AX158">
            <v>10339.439</v>
          </cell>
          <cell r="AY158">
            <v>10335.556</v>
          </cell>
          <cell r="AZ158">
            <v>10326.682000000001</v>
          </cell>
          <cell r="BA158">
            <v>10313.835999999999</v>
          </cell>
          <cell r="BB158">
            <v>10297.977000000001</v>
          </cell>
          <cell r="BC158">
            <v>10280.525</v>
          </cell>
          <cell r="BD158">
            <v>10263.01</v>
          </cell>
          <cell r="BE158">
            <v>10244.261</v>
          </cell>
          <cell r="BF158">
            <v>10225.198</v>
          </cell>
          <cell r="BG158">
            <v>10211.846</v>
          </cell>
          <cell r="BH158">
            <v>10212.088</v>
          </cell>
          <cell r="BI158">
            <v>10230.877</v>
          </cell>
          <cell r="BJ158">
            <v>10271.476000000001</v>
          </cell>
          <cell r="BK158">
            <v>10330.486999999999</v>
          </cell>
          <cell r="BL158">
            <v>10397.984</v>
          </cell>
          <cell r="BM158">
            <v>10460.022000000001</v>
          </cell>
          <cell r="BN158">
            <v>10506.617</v>
          </cell>
          <cell r="BO158">
            <v>10533.985000000001</v>
          </cell>
          <cell r="BP158">
            <v>10545.161</v>
          </cell>
          <cell r="BQ158">
            <v>10545.314</v>
          </cell>
          <cell r="BR158">
            <v>10542.665999999999</v>
          </cell>
          <cell r="BS158">
            <v>10543.186</v>
          </cell>
        </row>
        <row r="159">
          <cell r="E159">
            <v>348</v>
          </cell>
          <cell r="F159">
            <v>9337.723</v>
          </cell>
          <cell r="G159">
            <v>9478.11</v>
          </cell>
          <cell r="H159">
            <v>9595.2189999999991</v>
          </cell>
          <cell r="I159">
            <v>9691.1139999999996</v>
          </cell>
          <cell r="J159">
            <v>9768.1489999999994</v>
          </cell>
          <cell r="K159">
            <v>9828.9709999999995</v>
          </cell>
          <cell r="L159">
            <v>9876.5470000000005</v>
          </cell>
          <cell r="M159">
            <v>9914.1360000000004</v>
          </cell>
          <cell r="N159">
            <v>9945.1939999999995</v>
          </cell>
          <cell r="O159">
            <v>9973.2160000000003</v>
          </cell>
          <cell r="P159">
            <v>10001.27</v>
          </cell>
          <cell r="Q159">
            <v>10031.495999999999</v>
          </cell>
          <cell r="R159">
            <v>10064.666999999999</v>
          </cell>
          <cell r="S159">
            <v>10099.999</v>
          </cell>
          <cell r="T159">
            <v>10135.688</v>
          </cell>
          <cell r="U159">
            <v>10170.472</v>
          </cell>
          <cell r="V159">
            <v>10204.575000000001</v>
          </cell>
          <cell r="W159">
            <v>10238.93</v>
          </cell>
          <cell r="X159">
            <v>10273.73</v>
          </cell>
          <cell r="Y159">
            <v>10309.210999999999</v>
          </cell>
          <cell r="Z159">
            <v>10345.553</v>
          </cell>
          <cell r="AA159">
            <v>10381.705</v>
          </cell>
          <cell r="AB159">
            <v>10417.419</v>
          </cell>
          <cell r="AC159">
            <v>10454.502</v>
          </cell>
          <cell r="AD159">
            <v>10495.441999999999</v>
          </cell>
          <cell r="AE159">
            <v>10541.343999999999</v>
          </cell>
          <cell r="AF159">
            <v>10593.989</v>
          </cell>
          <cell r="AG159">
            <v>10650.975</v>
          </cell>
          <cell r="AH159">
            <v>10704.187</v>
          </cell>
          <cell r="AI159">
            <v>10742.694</v>
          </cell>
          <cell r="AJ159">
            <v>10759.022000000001</v>
          </cell>
          <cell r="AK159">
            <v>10750.27</v>
          </cell>
          <cell r="AL159">
            <v>10719.749</v>
          </cell>
          <cell r="AM159">
            <v>10673.963</v>
          </cell>
          <cell r="AN159">
            <v>10622.558999999999</v>
          </cell>
          <cell r="AO159">
            <v>10572.975</v>
          </cell>
          <cell r="AP159">
            <v>10526.561</v>
          </cell>
          <cell r="AQ159">
            <v>10482.364</v>
          </cell>
          <cell r="AR159">
            <v>10442.721</v>
          </cell>
          <cell r="AS159">
            <v>10409.853999999999</v>
          </cell>
          <cell r="AT159">
            <v>10385.061</v>
          </cell>
          <cell r="AU159">
            <v>10370.223</v>
          </cell>
          <cell r="AV159">
            <v>10364.661</v>
          </cell>
          <cell r="AW159">
            <v>10363.797</v>
          </cell>
          <cell r="AX159">
            <v>10361.134</v>
          </cell>
          <cell r="AY159">
            <v>10351.994000000001</v>
          </cell>
          <cell r="AZ159">
            <v>10334.876</v>
          </cell>
          <cell r="BA159">
            <v>10311.227000000001</v>
          </cell>
          <cell r="BB159">
            <v>10282.937</v>
          </cell>
          <cell r="BC159">
            <v>10253.11</v>
          </cell>
          <cell r="BD159">
            <v>10224.112999999999</v>
          </cell>
          <cell r="BE159">
            <v>10195.977999999999</v>
          </cell>
          <cell r="BF159">
            <v>10168.101000000001</v>
          </cell>
          <cell r="BG159">
            <v>10141.471</v>
          </cell>
          <cell r="BH159">
            <v>10117.213</v>
          </cell>
          <cell r="BI159">
            <v>10095.964</v>
          </cell>
          <cell r="BJ159">
            <v>10078.460999999999</v>
          </cell>
          <cell r="BK159">
            <v>10064.138000000001</v>
          </cell>
          <cell r="BL159">
            <v>10050.699000000001</v>
          </cell>
          <cell r="BM159">
            <v>10034.950999999999</v>
          </cell>
          <cell r="BN159">
            <v>10014.633</v>
          </cell>
          <cell r="BO159">
            <v>9988.8459999999995</v>
          </cell>
          <cell r="BP159">
            <v>9958.3340000000007</v>
          </cell>
          <cell r="BQ159">
            <v>9924.5069999999996</v>
          </cell>
          <cell r="BR159">
            <v>9889.5400000000009</v>
          </cell>
          <cell r="BS159">
            <v>9855.0229999999992</v>
          </cell>
        </row>
        <row r="160">
          <cell r="E160">
            <v>616</v>
          </cell>
          <cell r="F160">
            <v>24824.012999999999</v>
          </cell>
          <cell r="G160">
            <v>25264.028999999999</v>
          </cell>
          <cell r="H160">
            <v>25738.253000000001</v>
          </cell>
          <cell r="I160">
            <v>26236.679</v>
          </cell>
          <cell r="J160">
            <v>26750.026000000002</v>
          </cell>
          <cell r="K160">
            <v>27269.744999999999</v>
          </cell>
          <cell r="L160">
            <v>27787.996999999999</v>
          </cell>
          <cell r="M160">
            <v>28297.669000000002</v>
          </cell>
          <cell r="N160">
            <v>28792.427</v>
          </cell>
          <cell r="O160">
            <v>29266.789000000001</v>
          </cell>
          <cell r="P160">
            <v>29716.363000000001</v>
          </cell>
          <cell r="Q160">
            <v>30138.098999999998</v>
          </cell>
          <cell r="R160">
            <v>30530.512999999999</v>
          </cell>
          <cell r="S160">
            <v>30893.775000000001</v>
          </cell>
          <cell r="T160">
            <v>31229.448</v>
          </cell>
          <cell r="U160">
            <v>31539.695</v>
          </cell>
          <cell r="V160">
            <v>31824.145</v>
          </cell>
          <cell r="W160">
            <v>32085.010999999999</v>
          </cell>
          <cell r="X160">
            <v>32330.581999999999</v>
          </cell>
          <cell r="Y160">
            <v>32571.672999999999</v>
          </cell>
          <cell r="Z160">
            <v>32816.750999999997</v>
          </cell>
          <cell r="AA160">
            <v>33068.997000000003</v>
          </cell>
          <cell r="AB160">
            <v>33328.713000000003</v>
          </cell>
          <cell r="AC160">
            <v>33597.81</v>
          </cell>
          <cell r="AD160">
            <v>33877.396999999997</v>
          </cell>
          <cell r="AE160">
            <v>34168.112000000001</v>
          </cell>
          <cell r="AF160">
            <v>34468.877</v>
          </cell>
          <cell r="AG160">
            <v>34779.313000000002</v>
          </cell>
          <cell r="AH160">
            <v>35100.942000000003</v>
          </cell>
          <cell r="AI160">
            <v>35435.627</v>
          </cell>
          <cell r="AJ160">
            <v>35782.855000000003</v>
          </cell>
          <cell r="AK160">
            <v>36145.211000000003</v>
          </cell>
          <cell r="AL160">
            <v>36517.072</v>
          </cell>
          <cell r="AM160">
            <v>36879.741999999998</v>
          </cell>
          <cell r="AN160">
            <v>37208.529000000002</v>
          </cell>
          <cell r="AO160">
            <v>37486.105000000003</v>
          </cell>
          <cell r="AP160">
            <v>37703.942000000003</v>
          </cell>
          <cell r="AQ160">
            <v>37867.481</v>
          </cell>
          <cell r="AR160">
            <v>37990.682999999997</v>
          </cell>
          <cell r="AS160">
            <v>38094.811999999998</v>
          </cell>
          <cell r="AT160">
            <v>38195.258000000002</v>
          </cell>
          <cell r="AU160">
            <v>38297.548999999999</v>
          </cell>
          <cell r="AV160">
            <v>38396.826000000001</v>
          </cell>
          <cell r="AW160">
            <v>38485.892</v>
          </cell>
          <cell r="AX160">
            <v>38553.355000000003</v>
          </cell>
          <cell r="AY160">
            <v>38591.86</v>
          </cell>
          <cell r="AZ160">
            <v>38599.824999999997</v>
          </cell>
          <cell r="BA160">
            <v>38583.108999999997</v>
          </cell>
          <cell r="BB160">
            <v>38550.777000000002</v>
          </cell>
          <cell r="BC160">
            <v>38515.358999999997</v>
          </cell>
          <cell r="BD160">
            <v>38486.305</v>
          </cell>
          <cell r="BE160">
            <v>38466.542999999998</v>
          </cell>
          <cell r="BF160">
            <v>38454.822999999997</v>
          </cell>
          <cell r="BG160">
            <v>38451.226999999999</v>
          </cell>
          <cell r="BH160">
            <v>38454.519999999997</v>
          </cell>
          <cell r="BI160">
            <v>38463.514000000003</v>
          </cell>
          <cell r="BJ160">
            <v>38478.762999999999</v>
          </cell>
          <cell r="BK160">
            <v>38500.356</v>
          </cell>
          <cell r="BL160">
            <v>38525.752</v>
          </cell>
          <cell r="BM160">
            <v>38551.489000000001</v>
          </cell>
          <cell r="BN160">
            <v>38574.682000000001</v>
          </cell>
          <cell r="BO160">
            <v>38594.216999999997</v>
          </cell>
          <cell r="BP160">
            <v>38609.485999999997</v>
          </cell>
          <cell r="BQ160">
            <v>38618.697999999997</v>
          </cell>
          <cell r="BR160">
            <v>38619.974000000002</v>
          </cell>
          <cell r="BS160">
            <v>38611.794000000002</v>
          </cell>
        </row>
        <row r="161">
          <cell r="E161">
            <v>498</v>
          </cell>
          <cell r="F161">
            <v>2341.0030000000002</v>
          </cell>
          <cell r="G161">
            <v>2381.4430000000002</v>
          </cell>
          <cell r="H161">
            <v>2432.096</v>
          </cell>
          <cell r="I161">
            <v>2491.0680000000002</v>
          </cell>
          <cell r="J161">
            <v>2556.5880000000002</v>
          </cell>
          <cell r="K161">
            <v>2627.0070000000001</v>
          </cell>
          <cell r="L161">
            <v>2700.7959999999998</v>
          </cell>
          <cell r="M161">
            <v>2776.5520000000001</v>
          </cell>
          <cell r="N161">
            <v>2852.9949999999999</v>
          </cell>
          <cell r="O161">
            <v>2928.9870000000001</v>
          </cell>
          <cell r="P161">
            <v>3003.5569999999998</v>
          </cell>
          <cell r="Q161">
            <v>3075.9270000000001</v>
          </cell>
          <cell r="R161">
            <v>3145.5459999999998</v>
          </cell>
          <cell r="S161">
            <v>3212.0940000000001</v>
          </cell>
          <cell r="T161">
            <v>3275.4569999999999</v>
          </cell>
          <cell r="U161">
            <v>3335.625</v>
          </cell>
          <cell r="V161">
            <v>3392.0839999999998</v>
          </cell>
          <cell r="W161">
            <v>3444.85</v>
          </cell>
          <cell r="X161">
            <v>3495.134</v>
          </cell>
          <cell r="Y161">
            <v>3544.6350000000002</v>
          </cell>
          <cell r="Z161">
            <v>3594.5160000000001</v>
          </cell>
          <cell r="AA161">
            <v>3645.5149999999999</v>
          </cell>
          <cell r="AB161">
            <v>3697.1529999999998</v>
          </cell>
          <cell r="AC161">
            <v>3747.9250000000002</v>
          </cell>
          <cell r="AD161">
            <v>3795.6529999999998</v>
          </cell>
          <cell r="AE161">
            <v>3838.9110000000001</v>
          </cell>
          <cell r="AF161">
            <v>3876.9470000000001</v>
          </cell>
          <cell r="AG161">
            <v>3910.636</v>
          </cell>
          <cell r="AH161">
            <v>3942.1410000000001</v>
          </cell>
          <cell r="AI161">
            <v>3974.5059999999999</v>
          </cell>
          <cell r="AJ161">
            <v>4009.8429999999998</v>
          </cell>
          <cell r="AK161">
            <v>4048.6170000000002</v>
          </cell>
          <cell r="AL161">
            <v>4089.86</v>
          </cell>
          <cell r="AM161">
            <v>4132.4399999999996</v>
          </cell>
          <cell r="AN161">
            <v>4174.6210000000001</v>
          </cell>
          <cell r="AO161">
            <v>4214.9110000000001</v>
          </cell>
          <cell r="AP161">
            <v>4253.1620000000003</v>
          </cell>
          <cell r="AQ161">
            <v>4289.0990000000002</v>
          </cell>
          <cell r="AR161">
            <v>4320.9269999999997</v>
          </cell>
          <cell r="AS161">
            <v>4346.4489999999996</v>
          </cell>
          <cell r="AT161">
            <v>4364.1139999999996</v>
          </cell>
          <cell r="AU161">
            <v>4373.5820000000003</v>
          </cell>
          <cell r="AV161">
            <v>4375.3119999999999</v>
          </cell>
          <cell r="AW161">
            <v>4369.6490000000003</v>
          </cell>
          <cell r="AX161">
            <v>4357.2830000000004</v>
          </cell>
          <cell r="AY161">
            <v>4339.0820000000003</v>
          </cell>
          <cell r="AZ161">
            <v>4314.6930000000002</v>
          </cell>
          <cell r="BA161">
            <v>4284.9309999999996</v>
          </cell>
          <cell r="BB161">
            <v>4253.28</v>
          </cell>
          <cell r="BC161">
            <v>4224.2700000000004</v>
          </cell>
          <cell r="BD161">
            <v>4201.0879999999997</v>
          </cell>
          <cell r="BE161">
            <v>4185.5129999999999</v>
          </cell>
          <cell r="BF161">
            <v>4176.6469999999999</v>
          </cell>
          <cell r="BG161">
            <v>4171.6859999999997</v>
          </cell>
          <cell r="BH161">
            <v>4166.3710000000001</v>
          </cell>
          <cell r="BI161">
            <v>4157.7070000000003</v>
          </cell>
          <cell r="BJ161">
            <v>4144.6509999999998</v>
          </cell>
          <cell r="BK161">
            <v>4128.4589999999998</v>
          </cell>
          <cell r="BL161">
            <v>4111.1679999999997</v>
          </cell>
          <cell r="BM161">
            <v>4095.8130000000001</v>
          </cell>
          <cell r="BN161">
            <v>4084.4830000000002</v>
          </cell>
          <cell r="BO161">
            <v>4077.8110000000001</v>
          </cell>
          <cell r="BP161">
            <v>4074.7539999999999</v>
          </cell>
          <cell r="BQ161">
            <v>4073.7139999999999</v>
          </cell>
          <cell r="BR161">
            <v>4072.34</v>
          </cell>
          <cell r="BS161">
            <v>4068.8969999999999</v>
          </cell>
        </row>
        <row r="162">
          <cell r="E162">
            <v>642</v>
          </cell>
          <cell r="F162">
            <v>16236.291999999999</v>
          </cell>
          <cell r="G162">
            <v>16512.671999999999</v>
          </cell>
          <cell r="H162">
            <v>16764.919999999998</v>
          </cell>
          <cell r="I162">
            <v>17005.724999999999</v>
          </cell>
          <cell r="J162">
            <v>17243.807000000001</v>
          </cell>
          <cell r="K162">
            <v>17483.911</v>
          </cell>
          <cell r="L162">
            <v>17726.583999999999</v>
          </cell>
          <cell r="M162">
            <v>17968.397000000001</v>
          </cell>
          <cell r="N162">
            <v>18202.623</v>
          </cell>
          <cell r="O162">
            <v>18420.348000000002</v>
          </cell>
          <cell r="P162">
            <v>18613.834999999999</v>
          </cell>
          <cell r="Q162">
            <v>18780.105</v>
          </cell>
          <cell r="R162">
            <v>18924.067999999999</v>
          </cell>
          <cell r="S162">
            <v>19059.874</v>
          </cell>
          <cell r="T162">
            <v>19207.098000000002</v>
          </cell>
          <cell r="U162">
            <v>19379.554</v>
          </cell>
          <cell r="V162">
            <v>19582.342000000001</v>
          </cell>
          <cell r="W162">
            <v>19810.623</v>
          </cell>
          <cell r="X162">
            <v>20055.983</v>
          </cell>
          <cell r="Y162">
            <v>20305.391</v>
          </cell>
          <cell r="Z162">
            <v>20549.016</v>
          </cell>
          <cell r="AA162">
            <v>20783.864000000001</v>
          </cell>
          <cell r="AB162">
            <v>21011.826000000001</v>
          </cell>
          <cell r="AC162">
            <v>21233.593000000001</v>
          </cell>
          <cell r="AD162">
            <v>21451.256000000001</v>
          </cell>
          <cell r="AE162">
            <v>21665.78</v>
          </cell>
          <cell r="AF162">
            <v>21877.547999999999</v>
          </cell>
          <cell r="AG162">
            <v>22083.933000000001</v>
          </cell>
          <cell r="AH162">
            <v>22279.485000000001</v>
          </cell>
          <cell r="AI162">
            <v>22457.125</v>
          </cell>
          <cell r="AJ162">
            <v>22612.149000000001</v>
          </cell>
          <cell r="AK162">
            <v>22739.965</v>
          </cell>
          <cell r="AL162">
            <v>22842.425999999999</v>
          </cell>
          <cell r="AM162">
            <v>22928.995999999999</v>
          </cell>
          <cell r="AN162">
            <v>23013.19</v>
          </cell>
          <cell r="AO162">
            <v>23103.636999999999</v>
          </cell>
          <cell r="AP162">
            <v>23205.267</v>
          </cell>
          <cell r="AQ162">
            <v>23312.044999999998</v>
          </cell>
          <cell r="AR162">
            <v>23408.397000000001</v>
          </cell>
          <cell r="AS162">
            <v>23472.562000000002</v>
          </cell>
          <cell r="AT162">
            <v>23489.361000000001</v>
          </cell>
          <cell r="AU162">
            <v>23454.143</v>
          </cell>
          <cell r="AV162">
            <v>23373.154999999999</v>
          </cell>
          <cell r="AW162">
            <v>23255.683000000001</v>
          </cell>
          <cell r="AX162">
            <v>23115.920999999998</v>
          </cell>
          <cell r="AY162">
            <v>22965.125</v>
          </cell>
          <cell r="AZ162">
            <v>22804.526000000002</v>
          </cell>
          <cell r="BA162">
            <v>22633.398000000001</v>
          </cell>
          <cell r="BB162">
            <v>22458.737000000001</v>
          </cell>
          <cell r="BC162">
            <v>22288.573</v>
          </cell>
          <cell r="BD162">
            <v>22128.138999999999</v>
          </cell>
          <cell r="BE162">
            <v>21983.221000000001</v>
          </cell>
          <cell r="BF162">
            <v>21851.988000000001</v>
          </cell>
          <cell r="BG162">
            <v>21722.664000000001</v>
          </cell>
          <cell r="BH162">
            <v>21578.317999999999</v>
          </cell>
          <cell r="BI162">
            <v>21407.618999999999</v>
          </cell>
          <cell r="BJ162">
            <v>21205.976999999999</v>
          </cell>
          <cell r="BK162">
            <v>20979.707999999999</v>
          </cell>
          <cell r="BL162">
            <v>20741.669000000002</v>
          </cell>
          <cell r="BM162">
            <v>20510.262999999999</v>
          </cell>
          <cell r="BN162">
            <v>20298.838</v>
          </cell>
          <cell r="BO162">
            <v>20111.664000000001</v>
          </cell>
          <cell r="BP162">
            <v>19944.954000000002</v>
          </cell>
          <cell r="BQ162">
            <v>19794.163</v>
          </cell>
          <cell r="BR162">
            <v>19651.554</v>
          </cell>
          <cell r="BS162">
            <v>19511.324000000001</v>
          </cell>
        </row>
        <row r="163">
          <cell r="E163">
            <v>643</v>
          </cell>
          <cell r="F163">
            <v>102798.65700000001</v>
          </cell>
          <cell r="G163">
            <v>104306.35400000001</v>
          </cell>
          <cell r="H163">
            <v>105969.442</v>
          </cell>
          <cell r="I163">
            <v>107729.541</v>
          </cell>
          <cell r="J163">
            <v>109537.868</v>
          </cell>
          <cell r="K163">
            <v>111355.224</v>
          </cell>
          <cell r="L163">
            <v>113152.34699999999</v>
          </cell>
          <cell r="M163">
            <v>114909.56200000001</v>
          </cell>
          <cell r="N163">
            <v>116615.781</v>
          </cell>
          <cell r="O163">
            <v>118266.807</v>
          </cell>
          <cell r="P163">
            <v>119860.289</v>
          </cell>
          <cell r="Q163">
            <v>121390.327</v>
          </cell>
          <cell r="R163">
            <v>122842.753</v>
          </cell>
          <cell r="S163">
            <v>124193.114</v>
          </cell>
          <cell r="T163">
            <v>125412.397</v>
          </cell>
          <cell r="U163">
            <v>126483.874</v>
          </cell>
          <cell r="V163">
            <v>127396.32399999999</v>
          </cell>
          <cell r="W163">
            <v>128165.823</v>
          </cell>
          <cell r="X163">
            <v>128837.792</v>
          </cell>
          <cell r="Y163">
            <v>129475.269</v>
          </cell>
          <cell r="Z163">
            <v>130126.383</v>
          </cell>
          <cell r="AA163">
            <v>130808.492</v>
          </cell>
          <cell r="AB163">
            <v>131517.584</v>
          </cell>
          <cell r="AC163">
            <v>132254.36199999999</v>
          </cell>
          <cell r="AD163">
            <v>133012.55799999999</v>
          </cell>
          <cell r="AE163">
            <v>133788.11300000001</v>
          </cell>
          <cell r="AF163">
            <v>134583.94500000001</v>
          </cell>
          <cell r="AG163">
            <v>135406.78599999999</v>
          </cell>
          <cell r="AH163">
            <v>136259.51699999999</v>
          </cell>
          <cell r="AI163">
            <v>137144.80799999999</v>
          </cell>
          <cell r="AJ163">
            <v>138063.06200000001</v>
          </cell>
          <cell r="AK163">
            <v>139006.739</v>
          </cell>
          <cell r="AL163">
            <v>139969.24299999999</v>
          </cell>
          <cell r="AM163">
            <v>140951.4</v>
          </cell>
          <cell r="AN163">
            <v>141955.20000000001</v>
          </cell>
          <cell r="AO163">
            <v>142975.753</v>
          </cell>
          <cell r="AP163">
            <v>144016.095</v>
          </cell>
          <cell r="AQ163">
            <v>145056.22099999999</v>
          </cell>
          <cell r="AR163">
            <v>146040.11600000001</v>
          </cell>
          <cell r="AS163">
            <v>146895.05300000001</v>
          </cell>
          <cell r="AT163">
            <v>147568.552</v>
          </cell>
          <cell r="AU163">
            <v>148040.35399999999</v>
          </cell>
          <cell r="AV163">
            <v>148322.473</v>
          </cell>
          <cell r="AW163">
            <v>148435.81099999999</v>
          </cell>
          <cell r="AX163">
            <v>148416.29199999999</v>
          </cell>
          <cell r="AY163">
            <v>148293.26500000001</v>
          </cell>
          <cell r="AZ163">
            <v>148078.35500000001</v>
          </cell>
          <cell r="BA163">
            <v>147772.80499999999</v>
          </cell>
          <cell r="BB163">
            <v>147385.44</v>
          </cell>
          <cell r="BC163">
            <v>146924.174</v>
          </cell>
          <cell r="BD163">
            <v>146400.951</v>
          </cell>
          <cell r="BE163">
            <v>145818.12100000001</v>
          </cell>
          <cell r="BF163">
            <v>145195.52100000001</v>
          </cell>
          <cell r="BG163">
            <v>144583.147</v>
          </cell>
          <cell r="BH163">
            <v>144043.91399999999</v>
          </cell>
          <cell r="BI163">
            <v>143622.56599999999</v>
          </cell>
          <cell r="BJ163">
            <v>143338.40700000001</v>
          </cell>
          <cell r="BK163">
            <v>143180.24900000001</v>
          </cell>
          <cell r="BL163">
            <v>143123.163</v>
          </cell>
          <cell r="BM163">
            <v>143126.66</v>
          </cell>
          <cell r="BN163">
            <v>143158.09899999999</v>
          </cell>
          <cell r="BO163">
            <v>143211.476</v>
          </cell>
          <cell r="BP163">
            <v>143287.53599999999</v>
          </cell>
          <cell r="BQ163">
            <v>143367.34099999999</v>
          </cell>
          <cell r="BR163">
            <v>143429.435</v>
          </cell>
          <cell r="BS163">
            <v>143456.91800000001</v>
          </cell>
        </row>
        <row r="164">
          <cell r="E164">
            <v>703</v>
          </cell>
          <cell r="F164">
            <v>3436.5740000000001</v>
          </cell>
          <cell r="G164">
            <v>3509.9569999999999</v>
          </cell>
          <cell r="H164">
            <v>3585.96</v>
          </cell>
          <cell r="I164">
            <v>3662.7069999999999</v>
          </cell>
          <cell r="J164">
            <v>3738.674</v>
          </cell>
          <cell r="K164">
            <v>3812.6959999999999</v>
          </cell>
          <cell r="L164">
            <v>3883.9769999999999</v>
          </cell>
          <cell r="M164">
            <v>3952.08</v>
          </cell>
          <cell r="N164">
            <v>4016.8850000000002</v>
          </cell>
          <cell r="O164">
            <v>4078.5309999999999</v>
          </cell>
          <cell r="P164">
            <v>4137.2240000000002</v>
          </cell>
          <cell r="Q164">
            <v>4193.0349999999999</v>
          </cell>
          <cell r="R164">
            <v>4245.7259999999997</v>
          </cell>
          <cell r="S164">
            <v>4294.6729999999998</v>
          </cell>
          <cell r="T164">
            <v>4339.0820000000003</v>
          </cell>
          <cell r="U164">
            <v>4378.6130000000003</v>
          </cell>
          <cell r="V164">
            <v>4412.9070000000002</v>
          </cell>
          <cell r="W164">
            <v>4442.799</v>
          </cell>
          <cell r="X164">
            <v>4470.6319999999996</v>
          </cell>
          <cell r="Y164">
            <v>4499.5540000000001</v>
          </cell>
          <cell r="Z164">
            <v>4531.8739999999998</v>
          </cell>
          <cell r="AA164">
            <v>4568.2740000000003</v>
          </cell>
          <cell r="AB164">
            <v>4608.2659999999996</v>
          </cell>
          <cell r="AC164">
            <v>4651.4930000000004</v>
          </cell>
          <cell r="AD164">
            <v>4697.1530000000002</v>
          </cell>
          <cell r="AE164">
            <v>4744.482</v>
          </cell>
          <cell r="AF164">
            <v>4793.6329999999998</v>
          </cell>
          <cell r="AG164">
            <v>4844.3919999999998</v>
          </cell>
          <cell r="AH164">
            <v>4895.13</v>
          </cell>
          <cell r="AI164">
            <v>4943.732</v>
          </cell>
          <cell r="AJ164">
            <v>4988.6540000000005</v>
          </cell>
          <cell r="AK164">
            <v>5029.2079999999996</v>
          </cell>
          <cell r="AL164">
            <v>5065.6580000000004</v>
          </cell>
          <cell r="AM164">
            <v>5098.607</v>
          </cell>
          <cell r="AN164">
            <v>5129.1080000000002</v>
          </cell>
          <cell r="AO164">
            <v>5157.9589999999998</v>
          </cell>
          <cell r="AP164">
            <v>5185.1570000000002</v>
          </cell>
          <cell r="AQ164">
            <v>5210.451</v>
          </cell>
          <cell r="AR164">
            <v>5234.1189999999997</v>
          </cell>
          <cell r="AS164">
            <v>5256.4750000000004</v>
          </cell>
          <cell r="AT164">
            <v>5277.7089999999998</v>
          </cell>
          <cell r="AU164">
            <v>5298.08</v>
          </cell>
          <cell r="AV164">
            <v>5317.48</v>
          </cell>
          <cell r="AW164">
            <v>5335.2920000000004</v>
          </cell>
          <cell r="AX164">
            <v>5350.643</v>
          </cell>
          <cell r="AY164">
            <v>5362.95</v>
          </cell>
          <cell r="AZ164">
            <v>5372.1149999999998</v>
          </cell>
          <cell r="BA164">
            <v>5378.49</v>
          </cell>
          <cell r="BB164">
            <v>5382.5209999999997</v>
          </cell>
          <cell r="BC164">
            <v>5384.857</v>
          </cell>
          <cell r="BD164">
            <v>5386.0649999999996</v>
          </cell>
          <cell r="BE164">
            <v>5386.2240000000002</v>
          </cell>
          <cell r="BF164">
            <v>5385.48</v>
          </cell>
          <cell r="BG164">
            <v>5384.5330000000004</v>
          </cell>
          <cell r="BH164">
            <v>5384.2370000000001</v>
          </cell>
          <cell r="BI164">
            <v>5385.192</v>
          </cell>
          <cell r="BJ164">
            <v>5387.7340000000004</v>
          </cell>
          <cell r="BK164">
            <v>5391.7280000000001</v>
          </cell>
          <cell r="BL164">
            <v>5396.71</v>
          </cell>
          <cell r="BM164">
            <v>5401.951</v>
          </cell>
          <cell r="BN164">
            <v>5406.8959999999997</v>
          </cell>
          <cell r="BO164">
            <v>5411.3770000000004</v>
          </cell>
          <cell r="BP164">
            <v>5415.4960000000001</v>
          </cell>
          <cell r="BQ164">
            <v>5419.2879999999996</v>
          </cell>
          <cell r="BR164">
            <v>5422.8609999999999</v>
          </cell>
          <cell r="BS164">
            <v>5426.2579999999998</v>
          </cell>
        </row>
        <row r="165">
          <cell r="E165">
            <v>804</v>
          </cell>
          <cell r="F165">
            <v>37297.652000000002</v>
          </cell>
          <cell r="G165">
            <v>37815.815000000002</v>
          </cell>
          <cell r="H165">
            <v>38360.510999999999</v>
          </cell>
          <cell r="I165">
            <v>38916.264999999999</v>
          </cell>
          <cell r="J165">
            <v>39471.682000000001</v>
          </cell>
          <cell r="K165">
            <v>40019.446000000004</v>
          </cell>
          <cell r="L165">
            <v>40556.527999999998</v>
          </cell>
          <cell r="M165">
            <v>41083.978000000003</v>
          </cell>
          <cell r="N165">
            <v>41606.286</v>
          </cell>
          <cell r="O165">
            <v>42130.322</v>
          </cell>
          <cell r="P165">
            <v>42662.15</v>
          </cell>
          <cell r="Q165">
            <v>43203.635000000002</v>
          </cell>
          <cell r="R165">
            <v>43749.468999999997</v>
          </cell>
          <cell r="S165">
            <v>44285.896999999997</v>
          </cell>
          <cell r="T165">
            <v>44794.324999999997</v>
          </cell>
          <cell r="U165">
            <v>45261.938999999998</v>
          </cell>
          <cell r="V165">
            <v>45682.313999999998</v>
          </cell>
          <cell r="W165">
            <v>46060.455999999998</v>
          </cell>
          <cell r="X165">
            <v>46409.006999999998</v>
          </cell>
          <cell r="Y165">
            <v>46746.667999999998</v>
          </cell>
          <cell r="Z165">
            <v>47086.758000000002</v>
          </cell>
          <cell r="AA165">
            <v>47433.807000000001</v>
          </cell>
          <cell r="AB165">
            <v>47783.012999999999</v>
          </cell>
          <cell r="AC165">
            <v>48127.17</v>
          </cell>
          <cell r="AD165">
            <v>48455.12</v>
          </cell>
          <cell r="AE165">
            <v>48758.985999999997</v>
          </cell>
          <cell r="AF165">
            <v>49036.201999999997</v>
          </cell>
          <cell r="AG165">
            <v>49290.087</v>
          </cell>
          <cell r="AH165">
            <v>49525.597000000002</v>
          </cell>
          <cell r="AI165">
            <v>49750.15</v>
          </cell>
          <cell r="AJ165">
            <v>49968.811000000002</v>
          </cell>
          <cell r="AK165">
            <v>50181.709000000003</v>
          </cell>
          <cell r="AL165">
            <v>50385.836000000003</v>
          </cell>
          <cell r="AM165">
            <v>50579.135000000002</v>
          </cell>
          <cell r="AN165">
            <v>50758.512000000002</v>
          </cell>
          <cell r="AO165">
            <v>50920.777999999998</v>
          </cell>
          <cell r="AP165">
            <v>51063.97</v>
          </cell>
          <cell r="AQ165">
            <v>51185.553999999996</v>
          </cell>
          <cell r="AR165">
            <v>51280.766000000003</v>
          </cell>
          <cell r="AS165">
            <v>51343.974000000002</v>
          </cell>
          <cell r="AT165">
            <v>51370.008999999998</v>
          </cell>
          <cell r="AU165">
            <v>51360.72</v>
          </cell>
          <cell r="AV165">
            <v>51314.080000000002</v>
          </cell>
          <cell r="AW165">
            <v>51216.987999999998</v>
          </cell>
          <cell r="AX165">
            <v>51052.752</v>
          </cell>
          <cell r="AY165">
            <v>50811.673000000003</v>
          </cell>
          <cell r="AZ165">
            <v>50489.565999999999</v>
          </cell>
          <cell r="BA165">
            <v>50096.497000000003</v>
          </cell>
          <cell r="BB165">
            <v>49655.175000000003</v>
          </cell>
          <cell r="BC165">
            <v>49196.894999999997</v>
          </cell>
          <cell r="BD165">
            <v>48746.269</v>
          </cell>
          <cell r="BE165">
            <v>48310.815999999999</v>
          </cell>
          <cell r="BF165">
            <v>47890.646999999997</v>
          </cell>
          <cell r="BG165">
            <v>47493.771000000001</v>
          </cell>
          <cell r="BH165">
            <v>47127.11</v>
          </cell>
          <cell r="BI165">
            <v>46795.313000000002</v>
          </cell>
          <cell r="BJ165">
            <v>46502.718000000001</v>
          </cell>
          <cell r="BK165">
            <v>46249.196000000004</v>
          </cell>
          <cell r="BL165">
            <v>46028.476000000002</v>
          </cell>
          <cell r="BM165">
            <v>45830.711000000003</v>
          </cell>
          <cell r="BN165">
            <v>45647.497000000003</v>
          </cell>
          <cell r="BO165">
            <v>45477.69</v>
          </cell>
          <cell r="BP165">
            <v>45319.949000000001</v>
          </cell>
          <cell r="BQ165">
            <v>45165.211000000003</v>
          </cell>
          <cell r="BR165">
            <v>45002.497000000003</v>
          </cell>
          <cell r="BS165">
            <v>44823.764999999999</v>
          </cell>
        </row>
        <row r="166">
          <cell r="E166">
            <v>924</v>
          </cell>
          <cell r="F166">
            <v>78029.913</v>
          </cell>
          <cell r="G166">
            <v>78244.728000000003</v>
          </cell>
          <cell r="H166">
            <v>78513.938999999998</v>
          </cell>
          <cell r="I166">
            <v>78823.502999999997</v>
          </cell>
          <cell r="J166">
            <v>79163.479000000007</v>
          </cell>
          <cell r="K166">
            <v>79528.03</v>
          </cell>
          <cell r="L166">
            <v>79915.675000000003</v>
          </cell>
          <cell r="M166">
            <v>80329.040999999997</v>
          </cell>
          <cell r="N166">
            <v>80774.089000000007</v>
          </cell>
          <cell r="O166">
            <v>81258.868000000002</v>
          </cell>
          <cell r="P166">
            <v>81789.691000000006</v>
          </cell>
          <cell r="Q166">
            <v>82367.106</v>
          </cell>
          <cell r="R166">
            <v>82982.331999999995</v>
          </cell>
          <cell r="S166">
            <v>83615.739000000001</v>
          </cell>
          <cell r="T166">
            <v>84241.172000000006</v>
          </cell>
          <cell r="U166">
            <v>84838.599000000002</v>
          </cell>
          <cell r="V166">
            <v>85399.87</v>
          </cell>
          <cell r="W166">
            <v>85925.804000000004</v>
          </cell>
          <cell r="X166">
            <v>86416.491999999998</v>
          </cell>
          <cell r="Y166">
            <v>86875.317999999999</v>
          </cell>
          <cell r="Z166">
            <v>87304.615000000005</v>
          </cell>
          <cell r="AA166">
            <v>87703.968999999997</v>
          </cell>
          <cell r="AB166">
            <v>88070.706999999995</v>
          </cell>
          <cell r="AC166">
            <v>88402.953999999998</v>
          </cell>
          <cell r="AD166">
            <v>88698.559999999998</v>
          </cell>
          <cell r="AE166">
            <v>88957.153000000006</v>
          </cell>
          <cell r="AF166">
            <v>89179.445000000007</v>
          </cell>
          <cell r="AG166">
            <v>89369.63</v>
          </cell>
          <cell r="AH166">
            <v>89535.472999999998</v>
          </cell>
          <cell r="AI166">
            <v>89687.078999999998</v>
          </cell>
          <cell r="AJ166">
            <v>89833.195000000007</v>
          </cell>
          <cell r="AK166">
            <v>89974.942999999999</v>
          </cell>
          <cell r="AL166">
            <v>90114.862999999998</v>
          </cell>
          <cell r="AM166">
            <v>90264.528000000006</v>
          </cell>
          <cell r="AN166">
            <v>90437.898000000001</v>
          </cell>
          <cell r="AO166">
            <v>90644.014999999999</v>
          </cell>
          <cell r="AP166">
            <v>90889.915999999997</v>
          </cell>
          <cell r="AQ166">
            <v>91171.262000000002</v>
          </cell>
          <cell r="AR166">
            <v>91471.479000000007</v>
          </cell>
          <cell r="AS166">
            <v>91766.797999999995</v>
          </cell>
          <cell r="AT166">
            <v>92040.282000000007</v>
          </cell>
          <cell r="AU166">
            <v>92287.438999999998</v>
          </cell>
          <cell r="AV166">
            <v>92514.31</v>
          </cell>
          <cell r="AW166">
            <v>92727.442999999999</v>
          </cell>
          <cell r="AX166">
            <v>92937.548999999999</v>
          </cell>
          <cell r="AY166">
            <v>93153.316000000006</v>
          </cell>
          <cell r="AZ166">
            <v>93378.805999999997</v>
          </cell>
          <cell r="BA166">
            <v>93614.543000000005</v>
          </cell>
          <cell r="BB166">
            <v>93862.081000000006</v>
          </cell>
          <cell r="BC166">
            <v>94122.212</v>
          </cell>
          <cell r="BD166">
            <v>94397.433999999994</v>
          </cell>
          <cell r="BE166">
            <v>94682.917000000001</v>
          </cell>
          <cell r="BF166">
            <v>94983.945999999996</v>
          </cell>
          <cell r="BG166">
            <v>95324.543999999994</v>
          </cell>
          <cell r="BH166">
            <v>95736.247000000003</v>
          </cell>
          <cell r="BI166">
            <v>96238.536999999997</v>
          </cell>
          <cell r="BJ166">
            <v>96844.364000000001</v>
          </cell>
          <cell r="BK166">
            <v>97539.012000000002</v>
          </cell>
          <cell r="BL166">
            <v>98280.146999999997</v>
          </cell>
          <cell r="BM166">
            <v>99008.676000000007</v>
          </cell>
          <cell r="BN166">
            <v>99682.18</v>
          </cell>
          <cell r="BO166">
            <v>100283.755</v>
          </cell>
          <cell r="BP166">
            <v>100825.61500000001</v>
          </cell>
          <cell r="BQ166">
            <v>101329.969</v>
          </cell>
          <cell r="BR166">
            <v>101832.226</v>
          </cell>
          <cell r="BS166">
            <v>102357.768</v>
          </cell>
        </row>
        <row r="167">
          <cell r="E167">
            <v>830</v>
          </cell>
          <cell r="F167">
            <v>102.235</v>
          </cell>
          <cell r="G167">
            <v>102.965</v>
          </cell>
          <cell r="H167">
            <v>103.65300000000001</v>
          </cell>
          <cell r="I167">
            <v>104.31399999999999</v>
          </cell>
          <cell r="J167">
            <v>104.962</v>
          </cell>
          <cell r="K167">
            <v>105.608</v>
          </cell>
          <cell r="L167">
            <v>106.271</v>
          </cell>
          <cell r="M167">
            <v>106.967</v>
          </cell>
          <cell r="N167">
            <v>107.712</v>
          </cell>
          <cell r="O167">
            <v>108.526</v>
          </cell>
          <cell r="P167">
            <v>109.419</v>
          </cell>
          <cell r="Q167">
            <v>110.399</v>
          </cell>
          <cell r="R167">
            <v>111.46299999999999</v>
          </cell>
          <cell r="S167">
            <v>112.595</v>
          </cell>
          <cell r="T167">
            <v>113.77800000000001</v>
          </cell>
          <cell r="U167">
            <v>114.992</v>
          </cell>
          <cell r="V167">
            <v>116.226</v>
          </cell>
          <cell r="W167">
            <v>117.47499999999999</v>
          </cell>
          <cell r="X167">
            <v>118.726</v>
          </cell>
          <cell r="Y167">
            <v>119.971</v>
          </cell>
          <cell r="Z167">
            <v>121.196</v>
          </cell>
          <cell r="AA167">
            <v>122.413</v>
          </cell>
          <cell r="AB167">
            <v>123.611</v>
          </cell>
          <cell r="AC167">
            <v>124.72799999999999</v>
          </cell>
          <cell r="AD167">
            <v>125.68</v>
          </cell>
          <cell r="AE167">
            <v>126.417</v>
          </cell>
          <cell r="AF167">
            <v>126.90600000000001</v>
          </cell>
          <cell r="AG167">
            <v>127.19</v>
          </cell>
          <cell r="AH167">
            <v>127.39400000000001</v>
          </cell>
          <cell r="AI167">
            <v>127.694</v>
          </cell>
          <cell r="AJ167">
            <v>128.21299999999999</v>
          </cell>
          <cell r="AK167">
            <v>128.988</v>
          </cell>
          <cell r="AL167">
            <v>129.983</v>
          </cell>
          <cell r="AM167">
            <v>131.15799999999999</v>
          </cell>
          <cell r="AN167">
            <v>132.45099999999999</v>
          </cell>
          <cell r="AO167">
            <v>133.804</v>
          </cell>
          <cell r="AP167">
            <v>135.227</v>
          </cell>
          <cell r="AQ167">
            <v>136.71600000000001</v>
          </cell>
          <cell r="AR167">
            <v>138.18600000000001</v>
          </cell>
          <cell r="AS167">
            <v>139.52799999999999</v>
          </cell>
          <cell r="AT167">
            <v>140.66900000000001</v>
          </cell>
          <cell r="AU167">
            <v>141.56800000000001</v>
          </cell>
          <cell r="AV167">
            <v>142.25800000000001</v>
          </cell>
          <cell r="AW167">
            <v>142.822</v>
          </cell>
          <cell r="AX167">
            <v>143.38800000000001</v>
          </cell>
          <cell r="AY167">
            <v>144.05000000000001</v>
          </cell>
          <cell r="AZ167">
            <v>144.83199999999999</v>
          </cell>
          <cell r="BA167">
            <v>145.709</v>
          </cell>
          <cell r="BB167">
            <v>146.66900000000001</v>
          </cell>
          <cell r="BC167">
            <v>147.68199999999999</v>
          </cell>
          <cell r="BD167">
            <v>148.72499999999999</v>
          </cell>
          <cell r="BE167">
            <v>149.797</v>
          </cell>
          <cell r="BF167">
            <v>150.905</v>
          </cell>
          <cell r="BG167">
            <v>152.03399999999999</v>
          </cell>
          <cell r="BH167">
            <v>153.16999999999999</v>
          </cell>
          <cell r="BI167">
            <v>154.298</v>
          </cell>
          <cell r="BJ167">
            <v>155.41499999999999</v>
          </cell>
          <cell r="BK167">
            <v>156.51599999999999</v>
          </cell>
          <cell r="BL167">
            <v>157.58699999999999</v>
          </cell>
          <cell r="BM167">
            <v>158.613</v>
          </cell>
          <cell r="BN167">
            <v>159.583</v>
          </cell>
          <cell r="BO167">
            <v>160.489</v>
          </cell>
          <cell r="BP167">
            <v>161.33600000000001</v>
          </cell>
          <cell r="BQ167">
            <v>162.13800000000001</v>
          </cell>
          <cell r="BR167">
            <v>162.917</v>
          </cell>
          <cell r="BS167">
            <v>163.69200000000001</v>
          </cell>
        </row>
        <row r="168">
          <cell r="E168">
            <v>208</v>
          </cell>
          <cell r="F168">
            <v>4268.2700000000004</v>
          </cell>
          <cell r="G168">
            <v>4308.3239999999996</v>
          </cell>
          <cell r="H168">
            <v>4345.2179999999998</v>
          </cell>
          <cell r="I168">
            <v>4379.1409999999996</v>
          </cell>
          <cell r="J168">
            <v>4410.4350000000004</v>
          </cell>
          <cell r="K168">
            <v>4439.5940000000001</v>
          </cell>
          <cell r="L168">
            <v>4467.2790000000005</v>
          </cell>
          <cell r="M168">
            <v>4494.3059999999996</v>
          </cell>
          <cell r="N168">
            <v>4521.598</v>
          </cell>
          <cell r="O168">
            <v>4550.1289999999999</v>
          </cell>
          <cell r="P168">
            <v>4580.7079999999996</v>
          </cell>
          <cell r="Q168">
            <v>4613.7690000000002</v>
          </cell>
          <cell r="R168">
            <v>4649.1790000000001</v>
          </cell>
          <cell r="S168">
            <v>4686.1549999999997</v>
          </cell>
          <cell r="T168">
            <v>4723.4960000000001</v>
          </cell>
          <cell r="U168">
            <v>4760.2619999999997</v>
          </cell>
          <cell r="V168">
            <v>4796.1570000000002</v>
          </cell>
          <cell r="W168">
            <v>4831.2420000000002</v>
          </cell>
          <cell r="X168">
            <v>4865.3429999999998</v>
          </cell>
          <cell r="Y168">
            <v>4898.3500000000004</v>
          </cell>
          <cell r="Z168">
            <v>4930.1180000000004</v>
          </cell>
          <cell r="AA168">
            <v>4960.4759999999997</v>
          </cell>
          <cell r="AB168">
            <v>4989.1459999999997</v>
          </cell>
          <cell r="AC168">
            <v>5015.7659999999996</v>
          </cell>
          <cell r="AD168">
            <v>5039.92</v>
          </cell>
          <cell r="AE168">
            <v>5061.2889999999998</v>
          </cell>
          <cell r="AF168">
            <v>5079.9620000000004</v>
          </cell>
          <cell r="AG168">
            <v>5095.9560000000001</v>
          </cell>
          <cell r="AH168">
            <v>5108.8360000000002</v>
          </cell>
          <cell r="AI168">
            <v>5118.0649999999996</v>
          </cell>
          <cell r="AJ168">
            <v>5123.4350000000004</v>
          </cell>
          <cell r="AK168">
            <v>5124.8069999999998</v>
          </cell>
          <cell r="AL168">
            <v>5122.8100000000004</v>
          </cell>
          <cell r="AM168">
            <v>5118.9660000000003</v>
          </cell>
          <cell r="AN168">
            <v>5115.308</v>
          </cell>
          <cell r="AO168">
            <v>5113.4080000000004</v>
          </cell>
          <cell r="AP168">
            <v>5113.7669999999998</v>
          </cell>
          <cell r="AQ168">
            <v>5116.3509999999997</v>
          </cell>
          <cell r="AR168">
            <v>5121.5110000000004</v>
          </cell>
          <cell r="AS168">
            <v>5129.4719999999998</v>
          </cell>
          <cell r="AT168">
            <v>5140.3320000000003</v>
          </cell>
          <cell r="AU168">
            <v>5154.3090000000002</v>
          </cell>
          <cell r="AV168">
            <v>5171.3040000000001</v>
          </cell>
          <cell r="AW168">
            <v>5190.6310000000003</v>
          </cell>
          <cell r="AX168">
            <v>5211.3209999999999</v>
          </cell>
          <cell r="AY168">
            <v>5232.5820000000003</v>
          </cell>
          <cell r="AZ168">
            <v>5254.3829999999998</v>
          </cell>
          <cell r="BA168">
            <v>5276.683</v>
          </cell>
          <cell r="BB168">
            <v>5298.68</v>
          </cell>
          <cell r="BC168">
            <v>5319.41</v>
          </cell>
          <cell r="BD168">
            <v>5338.2830000000004</v>
          </cell>
          <cell r="BE168">
            <v>5354.7039999999997</v>
          </cell>
          <cell r="BF168">
            <v>5369.058</v>
          </cell>
          <cell r="BG168">
            <v>5382.9530000000004</v>
          </cell>
          <cell r="BH168">
            <v>5398.6450000000004</v>
          </cell>
          <cell r="BI168">
            <v>5417.692</v>
          </cell>
          <cell r="BJ168">
            <v>5440.6959999999999</v>
          </cell>
          <cell r="BK168">
            <v>5466.9880000000003</v>
          </cell>
          <cell r="BL168">
            <v>5495.3019999999997</v>
          </cell>
          <cell r="BM168">
            <v>5523.7550000000001</v>
          </cell>
          <cell r="BN168">
            <v>5550.9589999999998</v>
          </cell>
          <cell r="BO168">
            <v>5576.5770000000002</v>
          </cell>
          <cell r="BP168">
            <v>5600.9719999999998</v>
          </cell>
          <cell r="BQ168">
            <v>5624.2929999999997</v>
          </cell>
          <cell r="BR168">
            <v>5646.8990000000003</v>
          </cell>
          <cell r="BS168">
            <v>5669.0810000000001</v>
          </cell>
        </row>
        <row r="169">
          <cell r="E169">
            <v>233</v>
          </cell>
          <cell r="F169">
            <v>1100.998</v>
          </cell>
          <cell r="G169">
            <v>1113.2470000000001</v>
          </cell>
          <cell r="H169">
            <v>1125.2449999999999</v>
          </cell>
          <cell r="I169">
            <v>1136.9059999999999</v>
          </cell>
          <cell r="J169">
            <v>1148.2170000000001</v>
          </cell>
          <cell r="K169">
            <v>1159.2380000000001</v>
          </cell>
          <cell r="L169">
            <v>1170.105</v>
          </cell>
          <cell r="M169">
            <v>1181.0250000000001</v>
          </cell>
          <cell r="N169">
            <v>1192.2650000000001</v>
          </cell>
          <cell r="O169">
            <v>1204.117</v>
          </cell>
          <cell r="P169">
            <v>1216.8309999999999</v>
          </cell>
          <cell r="Q169">
            <v>1230.521</v>
          </cell>
          <cell r="R169">
            <v>1245.098</v>
          </cell>
          <cell r="S169">
            <v>1260.239</v>
          </cell>
          <cell r="T169">
            <v>1275.471</v>
          </cell>
          <cell r="U169">
            <v>1290.4369999999999</v>
          </cell>
          <cell r="V169">
            <v>1305.0250000000001</v>
          </cell>
          <cell r="W169">
            <v>1319.2840000000001</v>
          </cell>
          <cell r="X169">
            <v>1333.213</v>
          </cell>
          <cell r="Y169">
            <v>1346.854</v>
          </cell>
          <cell r="Z169">
            <v>1360.2360000000001</v>
          </cell>
          <cell r="AA169">
            <v>1373.336</v>
          </cell>
          <cell r="AB169">
            <v>1386.0989999999999</v>
          </cell>
          <cell r="AC169">
            <v>1398.4970000000001</v>
          </cell>
          <cell r="AD169">
            <v>1410.492</v>
          </cell>
          <cell r="AE169">
            <v>1422.07</v>
          </cell>
          <cell r="AF169">
            <v>1433.2070000000001</v>
          </cell>
          <cell r="AG169">
            <v>1443.9259999999999</v>
          </cell>
          <cell r="AH169">
            <v>1454.309</v>
          </cell>
          <cell r="AI169">
            <v>1464.4680000000001</v>
          </cell>
          <cell r="AJ169">
            <v>1474.4870000000001</v>
          </cell>
          <cell r="AK169">
            <v>1483.9380000000001</v>
          </cell>
          <cell r="AL169">
            <v>1492.704</v>
          </cell>
          <cell r="AM169">
            <v>1501.49</v>
          </cell>
          <cell r="AN169">
            <v>1511.2719999999999</v>
          </cell>
          <cell r="AO169">
            <v>1522.4770000000001</v>
          </cell>
          <cell r="AP169">
            <v>1536.1120000000001</v>
          </cell>
          <cell r="AQ169">
            <v>1551.288</v>
          </cell>
          <cell r="AR169">
            <v>1564.278</v>
          </cell>
          <cell r="AS169">
            <v>1570.0509999999999</v>
          </cell>
          <cell r="AT169">
            <v>1565.32</v>
          </cell>
          <cell r="AU169">
            <v>1548.287</v>
          </cell>
          <cell r="AV169">
            <v>1520.8789999999999</v>
          </cell>
          <cell r="AW169">
            <v>1488.12</v>
          </cell>
          <cell r="AX169">
            <v>1457.145</v>
          </cell>
          <cell r="AY169">
            <v>1433.076</v>
          </cell>
          <cell r="AZ169">
            <v>1417.7860000000001</v>
          </cell>
          <cell r="BA169">
            <v>1409.7180000000001</v>
          </cell>
          <cell r="BB169">
            <v>1406.3879999999999</v>
          </cell>
          <cell r="BC169">
            <v>1403.8209999999999</v>
          </cell>
          <cell r="BD169">
            <v>1399.145</v>
          </cell>
          <cell r="BE169">
            <v>1391.7539999999999</v>
          </cell>
          <cell r="BF169">
            <v>1382.7349999999999</v>
          </cell>
          <cell r="BG169">
            <v>1372.89</v>
          </cell>
          <cell r="BH169">
            <v>1363.549</v>
          </cell>
          <cell r="BI169">
            <v>1355.662</v>
          </cell>
          <cell r="BJ169">
            <v>1349.3689999999999</v>
          </cell>
          <cell r="BK169">
            <v>1344.2329999999999</v>
          </cell>
          <cell r="BL169">
            <v>1339.941</v>
          </cell>
          <cell r="BM169">
            <v>1336.0129999999999</v>
          </cell>
          <cell r="BN169">
            <v>1332.0889999999999</v>
          </cell>
          <cell r="BO169">
            <v>1328.068</v>
          </cell>
          <cell r="BP169">
            <v>1324.04</v>
          </cell>
          <cell r="BQ169">
            <v>1320.05</v>
          </cell>
          <cell r="BR169">
            <v>1316.203</v>
          </cell>
          <cell r="BS169">
            <v>1312.558</v>
          </cell>
        </row>
        <row r="170">
          <cell r="E170">
            <v>234</v>
          </cell>
          <cell r="F170">
            <v>31.504000000000001</v>
          </cell>
          <cell r="G170">
            <v>31.286999999999999</v>
          </cell>
          <cell r="H170">
            <v>31.218</v>
          </cell>
          <cell r="I170">
            <v>31.292000000000002</v>
          </cell>
          <cell r="J170">
            <v>31.497</v>
          </cell>
          <cell r="K170">
            <v>31.818000000000001</v>
          </cell>
          <cell r="L170">
            <v>32.232999999999997</v>
          </cell>
          <cell r="M170">
            <v>32.715000000000003</v>
          </cell>
          <cell r="N170">
            <v>33.235999999999997</v>
          </cell>
          <cell r="O170">
            <v>33.762</v>
          </cell>
          <cell r="P170">
            <v>34.265999999999998</v>
          </cell>
          <cell r="Q170">
            <v>34.729999999999997</v>
          </cell>
          <cell r="R170">
            <v>35.152999999999999</v>
          </cell>
          <cell r="S170">
            <v>35.549999999999997</v>
          </cell>
          <cell r="T170">
            <v>35.945999999999998</v>
          </cell>
          <cell r="U170">
            <v>36.363</v>
          </cell>
          <cell r="V170">
            <v>36.804000000000002</v>
          </cell>
          <cell r="W170">
            <v>37.258000000000003</v>
          </cell>
          <cell r="X170">
            <v>37.718000000000004</v>
          </cell>
          <cell r="Y170">
            <v>38.164000000000001</v>
          </cell>
          <cell r="Z170">
            <v>38.587000000000003</v>
          </cell>
          <cell r="AA170">
            <v>38.982999999999997</v>
          </cell>
          <cell r="AB170">
            <v>39.36</v>
          </cell>
          <cell r="AC170">
            <v>39.731000000000002</v>
          </cell>
          <cell r="AD170">
            <v>40.116</v>
          </cell>
          <cell r="AE170">
            <v>40.529000000000003</v>
          </cell>
          <cell r="AF170">
            <v>40.973999999999997</v>
          </cell>
          <cell r="AG170">
            <v>41.447000000000003</v>
          </cell>
          <cell r="AH170">
            <v>41.945999999999998</v>
          </cell>
          <cell r="AI170">
            <v>42.468000000000004</v>
          </cell>
          <cell r="AJ170">
            <v>43.01</v>
          </cell>
          <cell r="AK170">
            <v>43.558999999999997</v>
          </cell>
          <cell r="AL170">
            <v>44.104999999999997</v>
          </cell>
          <cell r="AM170">
            <v>44.661000000000001</v>
          </cell>
          <cell r="AN170">
            <v>45.238999999999997</v>
          </cell>
          <cell r="AO170">
            <v>45.84</v>
          </cell>
          <cell r="AP170">
            <v>46.500999999999998</v>
          </cell>
          <cell r="AQ170">
            <v>47.194000000000003</v>
          </cell>
          <cell r="AR170">
            <v>47.789000000000001</v>
          </cell>
          <cell r="AS170">
            <v>48.104999999999997</v>
          </cell>
          <cell r="AT170">
            <v>48.030999999999999</v>
          </cell>
          <cell r="AU170">
            <v>47.494</v>
          </cell>
          <cell r="AV170">
            <v>46.573999999999998</v>
          </cell>
          <cell r="AW170">
            <v>45.500999999999998</v>
          </cell>
          <cell r="AX170">
            <v>44.6</v>
          </cell>
          <cell r="AY170">
            <v>44.098999999999997</v>
          </cell>
          <cell r="AZ170">
            <v>44.081000000000003</v>
          </cell>
          <cell r="BA170">
            <v>44.466999999999999</v>
          </cell>
          <cell r="BB170">
            <v>45.125999999999998</v>
          </cell>
          <cell r="BC170">
            <v>45.851999999999997</v>
          </cell>
          <cell r="BD170">
            <v>46.491</v>
          </cell>
          <cell r="BE170">
            <v>47.012</v>
          </cell>
          <cell r="BF170">
            <v>47.451999999999998</v>
          </cell>
          <cell r="BG170">
            <v>47.811999999999998</v>
          </cell>
          <cell r="BH170">
            <v>48.103000000000002</v>
          </cell>
          <cell r="BI170">
            <v>48.337000000000003</v>
          </cell>
          <cell r="BJ170">
            <v>48.505000000000003</v>
          </cell>
          <cell r="BK170">
            <v>48.598999999999997</v>
          </cell>
          <cell r="BL170">
            <v>48.628999999999998</v>
          </cell>
          <cell r="BM170">
            <v>48.613</v>
          </cell>
          <cell r="BN170">
            <v>48.567</v>
          </cell>
          <cell r="BO170">
            <v>48.491999999999997</v>
          </cell>
          <cell r="BP170">
            <v>48.393000000000001</v>
          </cell>
          <cell r="BQ170">
            <v>48.292000000000002</v>
          </cell>
          <cell r="BR170">
            <v>48.220999999999997</v>
          </cell>
          <cell r="BS170">
            <v>48.198999999999998</v>
          </cell>
        </row>
        <row r="171">
          <cell r="E171">
            <v>246</v>
          </cell>
          <cell r="F171">
            <v>4008.299</v>
          </cell>
          <cell r="G171">
            <v>4049.6889999999999</v>
          </cell>
          <cell r="H171">
            <v>4095.13</v>
          </cell>
          <cell r="I171">
            <v>4142.3530000000001</v>
          </cell>
          <cell r="J171">
            <v>4189.5590000000002</v>
          </cell>
          <cell r="K171">
            <v>4235.4229999999998</v>
          </cell>
          <cell r="L171">
            <v>4279.1080000000002</v>
          </cell>
          <cell r="M171">
            <v>4320.25</v>
          </cell>
          <cell r="N171">
            <v>4358.9009999999998</v>
          </cell>
          <cell r="O171">
            <v>4395.4269999999997</v>
          </cell>
          <cell r="P171">
            <v>4430.2280000000001</v>
          </cell>
          <cell r="Q171">
            <v>4463.4319999999998</v>
          </cell>
          <cell r="R171">
            <v>4494.6229999999996</v>
          </cell>
          <cell r="S171">
            <v>4522.7269999999999</v>
          </cell>
          <cell r="T171">
            <v>4546.3429999999998</v>
          </cell>
          <cell r="U171">
            <v>4564.6899999999996</v>
          </cell>
          <cell r="V171">
            <v>4577.0330000000004</v>
          </cell>
          <cell r="W171">
            <v>4584.2640000000001</v>
          </cell>
          <cell r="X171">
            <v>4589.2259999999997</v>
          </cell>
          <cell r="Y171">
            <v>4595.8069999999998</v>
          </cell>
          <cell r="Z171">
            <v>4606.74</v>
          </cell>
          <cell r="AA171">
            <v>4623.3890000000001</v>
          </cell>
          <cell r="AB171">
            <v>4644.8469999999998</v>
          </cell>
          <cell r="AC171">
            <v>4668.8130000000001</v>
          </cell>
          <cell r="AD171">
            <v>4691.8180000000002</v>
          </cell>
          <cell r="AE171">
            <v>4711.4589999999998</v>
          </cell>
          <cell r="AF171">
            <v>4726.8029999999999</v>
          </cell>
          <cell r="AG171">
            <v>4738.9489999999996</v>
          </cell>
          <cell r="AH171">
            <v>4749.9399999999996</v>
          </cell>
          <cell r="AI171">
            <v>4762.7579999999998</v>
          </cell>
          <cell r="AJ171">
            <v>4779.4539999999997</v>
          </cell>
          <cell r="AK171">
            <v>4800.8990000000003</v>
          </cell>
          <cell r="AL171">
            <v>4826.1350000000002</v>
          </cell>
          <cell r="AM171">
            <v>4853.1959999999999</v>
          </cell>
          <cell r="AN171">
            <v>4879.2219999999998</v>
          </cell>
          <cell r="AO171">
            <v>4902.2190000000001</v>
          </cell>
          <cell r="AP171">
            <v>4921.2929999999997</v>
          </cell>
          <cell r="AQ171">
            <v>4937.259</v>
          </cell>
          <cell r="AR171">
            <v>4951.8860000000004</v>
          </cell>
          <cell r="AS171">
            <v>4967.7759999999998</v>
          </cell>
          <cell r="AT171">
            <v>4986.7049999999999</v>
          </cell>
          <cell r="AU171">
            <v>5009.3810000000003</v>
          </cell>
          <cell r="AV171">
            <v>5034.8980000000001</v>
          </cell>
          <cell r="AW171">
            <v>5061.4650000000001</v>
          </cell>
          <cell r="AX171">
            <v>5086.4989999999998</v>
          </cell>
          <cell r="AY171">
            <v>5108.1760000000004</v>
          </cell>
          <cell r="AZ171">
            <v>5126.0209999999997</v>
          </cell>
          <cell r="BA171">
            <v>5140.7550000000001</v>
          </cell>
          <cell r="BB171">
            <v>5153.2290000000003</v>
          </cell>
          <cell r="BC171">
            <v>5164.78</v>
          </cell>
          <cell r="BD171">
            <v>5176.482</v>
          </cell>
          <cell r="BE171">
            <v>5188.4459999999999</v>
          </cell>
          <cell r="BF171">
            <v>5200.6319999999996</v>
          </cell>
          <cell r="BG171">
            <v>5213.8</v>
          </cell>
          <cell r="BH171">
            <v>5228.8419999999996</v>
          </cell>
          <cell r="BI171">
            <v>5246.3680000000004</v>
          </cell>
          <cell r="BJ171">
            <v>5266.6</v>
          </cell>
          <cell r="BK171">
            <v>5289.3329999999996</v>
          </cell>
          <cell r="BL171">
            <v>5314.17</v>
          </cell>
          <cell r="BM171">
            <v>5340.4849999999997</v>
          </cell>
          <cell r="BN171">
            <v>5367.6930000000002</v>
          </cell>
          <cell r="BO171">
            <v>5395.8159999999998</v>
          </cell>
          <cell r="BP171">
            <v>5424.6440000000002</v>
          </cell>
          <cell r="BQ171">
            <v>5453.0609999999997</v>
          </cell>
          <cell r="BR171">
            <v>5479.66</v>
          </cell>
          <cell r="BS171">
            <v>5503.4570000000003</v>
          </cell>
        </row>
        <row r="172">
          <cell r="E172">
            <v>352</v>
          </cell>
          <cell r="F172">
            <v>142.65600000000001</v>
          </cell>
          <cell r="G172">
            <v>144.928</v>
          </cell>
          <cell r="H172">
            <v>147.68100000000001</v>
          </cell>
          <cell r="I172">
            <v>150.779</v>
          </cell>
          <cell r="J172">
            <v>154.11000000000001</v>
          </cell>
          <cell r="K172">
            <v>157.584</v>
          </cell>
          <cell r="L172">
            <v>161.136</v>
          </cell>
          <cell r="M172">
            <v>164.721</v>
          </cell>
          <cell r="N172">
            <v>168.31800000000001</v>
          </cell>
          <cell r="O172">
            <v>171.91900000000001</v>
          </cell>
          <cell r="P172">
            <v>175.52</v>
          </cell>
          <cell r="Q172">
            <v>179.10599999999999</v>
          </cell>
          <cell r="R172">
            <v>182.64</v>
          </cell>
          <cell r="S172">
            <v>186.05600000000001</v>
          </cell>
          <cell r="T172">
            <v>189.27600000000001</v>
          </cell>
          <cell r="U172">
            <v>192.251</v>
          </cell>
          <cell r="V172">
            <v>194.935</v>
          </cell>
          <cell r="W172">
            <v>197.35599999999999</v>
          </cell>
          <cell r="X172">
            <v>199.63399999999999</v>
          </cell>
          <cell r="Y172">
            <v>201.941</v>
          </cell>
          <cell r="Z172">
            <v>204.392</v>
          </cell>
          <cell r="AA172">
            <v>207.05</v>
          </cell>
          <cell r="AB172">
            <v>209.86799999999999</v>
          </cell>
          <cell r="AC172">
            <v>212.73099999999999</v>
          </cell>
          <cell r="AD172">
            <v>215.465</v>
          </cell>
          <cell r="AE172">
            <v>217.958</v>
          </cell>
          <cell r="AF172">
            <v>220.16200000000001</v>
          </cell>
          <cell r="AG172">
            <v>222.142</v>
          </cell>
          <cell r="AH172">
            <v>224.01900000000001</v>
          </cell>
          <cell r="AI172">
            <v>225.97200000000001</v>
          </cell>
          <cell r="AJ172">
            <v>228.12700000000001</v>
          </cell>
          <cell r="AK172">
            <v>230.52500000000001</v>
          </cell>
          <cell r="AL172">
            <v>233.12100000000001</v>
          </cell>
          <cell r="AM172">
            <v>235.86</v>
          </cell>
          <cell r="AN172">
            <v>238.64699999999999</v>
          </cell>
          <cell r="AO172">
            <v>241.411</v>
          </cell>
          <cell r="AP172">
            <v>244.14500000000001</v>
          </cell>
          <cell r="AQ172">
            <v>246.86699999999999</v>
          </cell>
          <cell r="AR172">
            <v>249.56299999999999</v>
          </cell>
          <cell r="AS172">
            <v>252.21899999999999</v>
          </cell>
          <cell r="AT172">
            <v>254.83</v>
          </cell>
          <cell r="AU172">
            <v>257.387</v>
          </cell>
          <cell r="AV172">
            <v>259.89499999999998</v>
          </cell>
          <cell r="AW172">
            <v>262.38299999999998</v>
          </cell>
          <cell r="AX172">
            <v>264.89299999999997</v>
          </cell>
          <cell r="AY172">
            <v>267.45400000000001</v>
          </cell>
          <cell r="AZ172">
            <v>270.089</v>
          </cell>
          <cell r="BA172">
            <v>272.798</v>
          </cell>
          <cell r="BB172">
            <v>275.56799999999998</v>
          </cell>
          <cell r="BC172">
            <v>278.37599999999998</v>
          </cell>
          <cell r="BD172">
            <v>281.214</v>
          </cell>
          <cell r="BE172">
            <v>284.03699999999998</v>
          </cell>
          <cell r="BF172">
            <v>286.86500000000001</v>
          </cell>
          <cell r="BG172">
            <v>289.82400000000001</v>
          </cell>
          <cell r="BH172">
            <v>293.084</v>
          </cell>
          <cell r="BI172">
            <v>296.745</v>
          </cell>
          <cell r="BJ172">
            <v>300.887</v>
          </cell>
          <cell r="BK172">
            <v>305.41500000000002</v>
          </cell>
          <cell r="BL172">
            <v>310.03300000000002</v>
          </cell>
          <cell r="BM172">
            <v>314.33600000000001</v>
          </cell>
          <cell r="BN172">
            <v>318.04199999999997</v>
          </cell>
          <cell r="BO172">
            <v>321.02999999999997</v>
          </cell>
          <cell r="BP172">
            <v>323.40699999999998</v>
          </cell>
          <cell r="BQ172">
            <v>325.392</v>
          </cell>
          <cell r="BR172">
            <v>327.31799999999998</v>
          </cell>
          <cell r="BS172">
            <v>329.42500000000001</v>
          </cell>
        </row>
        <row r="173">
          <cell r="E173">
            <v>372</v>
          </cell>
          <cell r="F173">
            <v>2913.0929999999998</v>
          </cell>
          <cell r="G173">
            <v>2921.2779999999998</v>
          </cell>
          <cell r="H173">
            <v>2924.2220000000002</v>
          </cell>
          <cell r="I173">
            <v>2921.36</v>
          </cell>
          <cell r="J173">
            <v>2912.7469999999998</v>
          </cell>
          <cell r="K173">
            <v>2899.0549999999998</v>
          </cell>
          <cell r="L173">
            <v>2881.6120000000001</v>
          </cell>
          <cell r="M173">
            <v>2862.366</v>
          </cell>
          <cell r="N173">
            <v>2843.7550000000001</v>
          </cell>
          <cell r="O173">
            <v>2828.5149999999999</v>
          </cell>
          <cell r="P173">
            <v>2819.0590000000002</v>
          </cell>
          <cell r="Q173">
            <v>2816.8319999999999</v>
          </cell>
          <cell r="R173">
            <v>2821.7420000000002</v>
          </cell>
          <cell r="S173">
            <v>2831.9110000000001</v>
          </cell>
          <cell r="T173">
            <v>2844.373</v>
          </cell>
          <cell r="U173">
            <v>2857.1039999999998</v>
          </cell>
          <cell r="V173">
            <v>2869.3110000000001</v>
          </cell>
          <cell r="W173">
            <v>2882.0949999999998</v>
          </cell>
          <cell r="X173">
            <v>2897.5410000000002</v>
          </cell>
          <cell r="Y173">
            <v>2918.6260000000002</v>
          </cell>
          <cell r="Z173">
            <v>2947.3389999999999</v>
          </cell>
          <cell r="AA173">
            <v>2984.0439999999999</v>
          </cell>
          <cell r="AB173">
            <v>3027.538</v>
          </cell>
          <cell r="AC173">
            <v>3076.2730000000001</v>
          </cell>
          <cell r="AD173">
            <v>3128</v>
          </cell>
          <cell r="AE173">
            <v>3180.8049999999998</v>
          </cell>
          <cell r="AF173">
            <v>3234.1529999999998</v>
          </cell>
          <cell r="AG173">
            <v>3287.62</v>
          </cell>
          <cell r="AH173">
            <v>3339.4989999999998</v>
          </cell>
          <cell r="AI173">
            <v>3387.8220000000001</v>
          </cell>
          <cell r="AJ173">
            <v>3431.078</v>
          </cell>
          <cell r="AK173">
            <v>3468.884</v>
          </cell>
          <cell r="AL173">
            <v>3501.2130000000002</v>
          </cell>
          <cell r="AM173">
            <v>3527.4720000000002</v>
          </cell>
          <cell r="AN173">
            <v>3547.1570000000002</v>
          </cell>
          <cell r="AO173">
            <v>3560.2249999999999</v>
          </cell>
          <cell r="AP173">
            <v>3566.3270000000002</v>
          </cell>
          <cell r="AQ173">
            <v>3566.4160000000002</v>
          </cell>
          <cell r="AR173">
            <v>3563.4380000000001</v>
          </cell>
          <cell r="AS173">
            <v>3561.3310000000001</v>
          </cell>
          <cell r="AT173">
            <v>3563.1060000000002</v>
          </cell>
          <cell r="AU173">
            <v>3570.14</v>
          </cell>
          <cell r="AV173">
            <v>3582.3420000000001</v>
          </cell>
          <cell r="AW173">
            <v>3599.451</v>
          </cell>
          <cell r="AX173">
            <v>3620.616</v>
          </cell>
          <cell r="AY173">
            <v>3645.3330000000001</v>
          </cell>
          <cell r="AZ173">
            <v>3673.5529999999999</v>
          </cell>
          <cell r="BA173">
            <v>3706.0320000000002</v>
          </cell>
          <cell r="BB173">
            <v>3743.9479999999999</v>
          </cell>
          <cell r="BC173">
            <v>3788.8159999999998</v>
          </cell>
          <cell r="BD173">
            <v>3841.5740000000001</v>
          </cell>
          <cell r="BE173">
            <v>3901.6880000000001</v>
          </cell>
          <cell r="BF173">
            <v>3968.2130000000002</v>
          </cell>
          <cell r="BG173">
            <v>4040.9859999999999</v>
          </cell>
          <cell r="BH173">
            <v>4119.7730000000001</v>
          </cell>
          <cell r="BI173">
            <v>4203.7</v>
          </cell>
          <cell r="BJ173">
            <v>4293.942</v>
          </cell>
          <cell r="BK173">
            <v>4388.6120000000001</v>
          </cell>
          <cell r="BL173">
            <v>4480.1450000000004</v>
          </cell>
          <cell r="BM173">
            <v>4558.6030000000001</v>
          </cell>
          <cell r="BN173">
            <v>4617.3339999999998</v>
          </cell>
          <cell r="BO173">
            <v>4652.7139999999999</v>
          </cell>
          <cell r="BP173">
            <v>4667.8680000000004</v>
          </cell>
          <cell r="BQ173">
            <v>4671.2629999999999</v>
          </cell>
          <cell r="BR173">
            <v>4675.1639999999998</v>
          </cell>
          <cell r="BS173">
            <v>4688.4650000000001</v>
          </cell>
        </row>
        <row r="174">
          <cell r="E174">
            <v>833</v>
          </cell>
          <cell r="F174">
            <v>55.253</v>
          </cell>
          <cell r="G174">
            <v>55.264000000000003</v>
          </cell>
          <cell r="H174">
            <v>54.905999999999999</v>
          </cell>
          <cell r="I174">
            <v>54.258000000000003</v>
          </cell>
          <cell r="J174">
            <v>53.398000000000003</v>
          </cell>
          <cell r="K174">
            <v>52.408999999999999</v>
          </cell>
          <cell r="L174">
            <v>51.374000000000002</v>
          </cell>
          <cell r="M174">
            <v>50.378999999999998</v>
          </cell>
          <cell r="N174">
            <v>49.506999999999998</v>
          </cell>
          <cell r="O174">
            <v>48.838999999999999</v>
          </cell>
          <cell r="P174">
            <v>48.441000000000003</v>
          </cell>
          <cell r="Q174">
            <v>48.353000000000002</v>
          </cell>
          <cell r="R174">
            <v>48.58</v>
          </cell>
          <cell r="S174">
            <v>49.088999999999999</v>
          </cell>
          <cell r="T174">
            <v>49.817999999999998</v>
          </cell>
          <cell r="U174">
            <v>50.713000000000001</v>
          </cell>
          <cell r="V174">
            <v>51.776000000000003</v>
          </cell>
          <cell r="W174">
            <v>52.994999999999997</v>
          </cell>
          <cell r="X174">
            <v>54.289000000000001</v>
          </cell>
          <cell r="Y174">
            <v>55.554000000000002</v>
          </cell>
          <cell r="Z174">
            <v>56.712000000000003</v>
          </cell>
          <cell r="AA174">
            <v>57.710999999999999</v>
          </cell>
          <cell r="AB174">
            <v>58.563000000000002</v>
          </cell>
          <cell r="AC174">
            <v>59.326000000000001</v>
          </cell>
          <cell r="AD174">
            <v>60.097999999999999</v>
          </cell>
          <cell r="AE174">
            <v>60.941000000000003</v>
          </cell>
          <cell r="AF174">
            <v>61.9</v>
          </cell>
          <cell r="AG174">
            <v>62.933999999999997</v>
          </cell>
          <cell r="AH174">
            <v>63.917999999999999</v>
          </cell>
          <cell r="AI174">
            <v>64.680000000000007</v>
          </cell>
          <cell r="AJ174">
            <v>65.108000000000004</v>
          </cell>
          <cell r="AK174">
            <v>65.128</v>
          </cell>
          <cell r="AL174">
            <v>64.816999999999993</v>
          </cell>
          <cell r="AM174">
            <v>64.403999999999996</v>
          </cell>
          <cell r="AN174">
            <v>64.206999999999994</v>
          </cell>
          <cell r="AO174">
            <v>64.445999999999998</v>
          </cell>
          <cell r="AP174">
            <v>65.224999999999994</v>
          </cell>
          <cell r="AQ174">
            <v>66.448999999999998</v>
          </cell>
          <cell r="AR174">
            <v>67.902000000000001</v>
          </cell>
          <cell r="AS174">
            <v>69.265000000000001</v>
          </cell>
          <cell r="AT174">
            <v>70.311999999999998</v>
          </cell>
          <cell r="AU174">
            <v>70.962999999999994</v>
          </cell>
          <cell r="AV174">
            <v>71.305999999999997</v>
          </cell>
          <cell r="AW174">
            <v>71.486000000000004</v>
          </cell>
          <cell r="AX174">
            <v>71.725999999999999</v>
          </cell>
          <cell r="AY174">
            <v>72.180999999999997</v>
          </cell>
          <cell r="AZ174">
            <v>72.899000000000001</v>
          </cell>
          <cell r="BA174">
            <v>73.816999999999993</v>
          </cell>
          <cell r="BB174">
            <v>74.852999999999994</v>
          </cell>
          <cell r="BC174">
            <v>75.879000000000005</v>
          </cell>
          <cell r="BD174">
            <v>76.805999999999997</v>
          </cell>
          <cell r="BE174">
            <v>77.608000000000004</v>
          </cell>
          <cell r="BF174">
            <v>78.317999999999998</v>
          </cell>
          <cell r="BG174">
            <v>78.974999999999994</v>
          </cell>
          <cell r="BH174">
            <v>79.635999999999996</v>
          </cell>
          <cell r="BI174">
            <v>80.344999999999999</v>
          </cell>
          <cell r="BJ174">
            <v>81.11</v>
          </cell>
          <cell r="BK174">
            <v>81.914000000000001</v>
          </cell>
          <cell r="BL174">
            <v>82.736999999999995</v>
          </cell>
          <cell r="BM174">
            <v>83.548000000000002</v>
          </cell>
          <cell r="BN174">
            <v>84.326999999999998</v>
          </cell>
          <cell r="BO174">
            <v>85.069000000000003</v>
          </cell>
          <cell r="BP174">
            <v>85.778999999999996</v>
          </cell>
          <cell r="BQ174">
            <v>86.462000000000003</v>
          </cell>
          <cell r="BR174">
            <v>87.126999999999995</v>
          </cell>
          <cell r="BS174">
            <v>87.78</v>
          </cell>
        </row>
        <row r="175">
          <cell r="E175">
            <v>428</v>
          </cell>
          <cell r="F175">
            <v>1949</v>
          </cell>
          <cell r="G175">
            <v>1954.829</v>
          </cell>
          <cell r="H175">
            <v>1965.114</v>
          </cell>
          <cell r="I175">
            <v>1979.028</v>
          </cell>
          <cell r="J175">
            <v>1995.8589999999999</v>
          </cell>
          <cell r="K175">
            <v>2015.009</v>
          </cell>
          <cell r="L175">
            <v>2035.9960000000001</v>
          </cell>
          <cell r="M175">
            <v>2058.4569999999999</v>
          </cell>
          <cell r="N175">
            <v>2082.127</v>
          </cell>
          <cell r="O175">
            <v>2106.8209999999999</v>
          </cell>
          <cell r="P175">
            <v>2132.3679999999999</v>
          </cell>
          <cell r="Q175">
            <v>2158.5459999999998</v>
          </cell>
          <cell r="R175">
            <v>2185.0160000000001</v>
          </cell>
          <cell r="S175">
            <v>2211.297</v>
          </cell>
          <cell r="T175">
            <v>2236.8440000000001</v>
          </cell>
          <cell r="U175">
            <v>2261.259</v>
          </cell>
          <cell r="V175">
            <v>2284.2139999999999</v>
          </cell>
          <cell r="W175">
            <v>2305.7179999999998</v>
          </cell>
          <cell r="X175">
            <v>2326.1280000000002</v>
          </cell>
          <cell r="Y175">
            <v>2346.0120000000002</v>
          </cell>
          <cell r="Z175">
            <v>2365.7530000000002</v>
          </cell>
          <cell r="AA175">
            <v>2385.5610000000001</v>
          </cell>
          <cell r="AB175">
            <v>2405.212</v>
          </cell>
          <cell r="AC175">
            <v>2424.1489999999999</v>
          </cell>
          <cell r="AD175">
            <v>2441.5880000000002</v>
          </cell>
          <cell r="AE175">
            <v>2457.027</v>
          </cell>
          <cell r="AF175">
            <v>2470.2629999999999</v>
          </cell>
          <cell r="AG175">
            <v>2481.66</v>
          </cell>
          <cell r="AH175">
            <v>2491.98</v>
          </cell>
          <cell r="AI175">
            <v>2502.2939999999999</v>
          </cell>
          <cell r="AJ175">
            <v>2513.3969999999999</v>
          </cell>
          <cell r="AK175">
            <v>2524.8429999999998</v>
          </cell>
          <cell r="AL175">
            <v>2536.34</v>
          </cell>
          <cell r="AM175">
            <v>2548.9409999999998</v>
          </cell>
          <cell r="AN175">
            <v>2564.0059999999999</v>
          </cell>
          <cell r="AO175">
            <v>2582.0790000000002</v>
          </cell>
          <cell r="AP175">
            <v>2604.4839999999999</v>
          </cell>
          <cell r="AQ175">
            <v>2629.8310000000001</v>
          </cell>
          <cell r="AR175">
            <v>2652.6840000000002</v>
          </cell>
          <cell r="AS175">
            <v>2665.7109999999998</v>
          </cell>
          <cell r="AT175">
            <v>2663.9850000000001</v>
          </cell>
          <cell r="AU175">
            <v>2645.056</v>
          </cell>
          <cell r="AV175">
            <v>2611.306</v>
          </cell>
          <cell r="AW175">
            <v>2568.6030000000001</v>
          </cell>
          <cell r="AX175">
            <v>2525.444</v>
          </cell>
          <cell r="AY175">
            <v>2487.9879999999998</v>
          </cell>
          <cell r="AZ175">
            <v>2458.3049999999998</v>
          </cell>
          <cell r="BA175">
            <v>2434.6280000000002</v>
          </cell>
          <cell r="BB175">
            <v>2414.65</v>
          </cell>
          <cell r="BC175">
            <v>2394.5210000000002</v>
          </cell>
          <cell r="BD175">
            <v>2371.4810000000002</v>
          </cell>
          <cell r="BE175">
            <v>2345.145</v>
          </cell>
          <cell r="BF175">
            <v>2316.7310000000002</v>
          </cell>
          <cell r="BG175">
            <v>2286.9459999999999</v>
          </cell>
          <cell r="BH175">
            <v>2256.9349999999999</v>
          </cell>
          <cell r="BI175">
            <v>2227.5590000000002</v>
          </cell>
          <cell r="BJ175">
            <v>2199.105</v>
          </cell>
          <cell r="BK175">
            <v>2171.3780000000002</v>
          </cell>
          <cell r="BL175">
            <v>2144.2150000000001</v>
          </cell>
          <cell r="BM175">
            <v>2117.3069999999998</v>
          </cell>
          <cell r="BN175">
            <v>2090.5189999999998</v>
          </cell>
          <cell r="BO175">
            <v>2063.6610000000001</v>
          </cell>
          <cell r="BP175">
            <v>2037.09</v>
          </cell>
          <cell r="BQ175">
            <v>2011.857</v>
          </cell>
          <cell r="BR175">
            <v>1989.354</v>
          </cell>
          <cell r="BS175">
            <v>1970.5029999999999</v>
          </cell>
        </row>
        <row r="176">
          <cell r="E176">
            <v>440</v>
          </cell>
          <cell r="F176">
            <v>2567.402</v>
          </cell>
          <cell r="G176">
            <v>2569.877</v>
          </cell>
          <cell r="H176">
            <v>2578.5219999999999</v>
          </cell>
          <cell r="I176">
            <v>2591.9989999999998</v>
          </cell>
          <cell r="J176">
            <v>2609.2640000000001</v>
          </cell>
          <cell r="K176">
            <v>2629.5709999999999</v>
          </cell>
          <cell r="L176">
            <v>2652.489</v>
          </cell>
          <cell r="M176">
            <v>2677.8850000000002</v>
          </cell>
          <cell r="N176">
            <v>2705.875</v>
          </cell>
          <cell r="O176">
            <v>2736.748</v>
          </cell>
          <cell r="P176">
            <v>2770.7370000000001</v>
          </cell>
          <cell r="Q176">
            <v>2807.7629999999999</v>
          </cell>
          <cell r="R176">
            <v>2847.221</v>
          </cell>
          <cell r="S176">
            <v>2887.8870000000002</v>
          </cell>
          <cell r="T176">
            <v>2928.1819999999998</v>
          </cell>
          <cell r="U176">
            <v>2966.9470000000001</v>
          </cell>
          <cell r="V176">
            <v>3003.5709999999999</v>
          </cell>
          <cell r="W176">
            <v>3038.2159999999999</v>
          </cell>
          <cell r="X176">
            <v>3071.4650000000001</v>
          </cell>
          <cell r="Y176">
            <v>3104.2919999999999</v>
          </cell>
          <cell r="Z176">
            <v>3137.373</v>
          </cell>
          <cell r="AA176">
            <v>3170.8870000000002</v>
          </cell>
          <cell r="AB176">
            <v>3204.4659999999999</v>
          </cell>
          <cell r="AC176">
            <v>3237.5970000000002</v>
          </cell>
          <cell r="AD176">
            <v>3269.5459999999998</v>
          </cell>
          <cell r="AE176">
            <v>3299.819</v>
          </cell>
          <cell r="AF176">
            <v>3328.2449999999999</v>
          </cell>
          <cell r="AG176">
            <v>3355.098</v>
          </cell>
          <cell r="AH176">
            <v>3380.8789999999999</v>
          </cell>
          <cell r="AI176">
            <v>3406.3110000000001</v>
          </cell>
          <cell r="AJ176">
            <v>3431.933</v>
          </cell>
          <cell r="AK176">
            <v>3457.3649999999998</v>
          </cell>
          <cell r="AL176">
            <v>3482.39</v>
          </cell>
          <cell r="AM176">
            <v>3507.8389999999999</v>
          </cell>
          <cell r="AN176">
            <v>3534.8040000000001</v>
          </cell>
          <cell r="AO176">
            <v>3563.741</v>
          </cell>
          <cell r="AP176">
            <v>3595.3620000000001</v>
          </cell>
          <cell r="AQ176">
            <v>3628.5320000000002</v>
          </cell>
          <cell r="AR176">
            <v>3659.6129999999998</v>
          </cell>
          <cell r="AS176">
            <v>3683.7109999999998</v>
          </cell>
          <cell r="AT176">
            <v>3697.393</v>
          </cell>
          <cell r="AU176">
            <v>3699.3519999999999</v>
          </cell>
          <cell r="AV176">
            <v>3690.788</v>
          </cell>
          <cell r="AW176">
            <v>3673.9059999999999</v>
          </cell>
          <cell r="AX176">
            <v>3652.12</v>
          </cell>
          <cell r="AY176">
            <v>3628.0790000000002</v>
          </cell>
          <cell r="AZ176">
            <v>3602.1640000000002</v>
          </cell>
          <cell r="BA176">
            <v>3574.0140000000001</v>
          </cell>
          <cell r="BB176">
            <v>3544.6680000000001</v>
          </cell>
          <cell r="BC176">
            <v>3515.2179999999998</v>
          </cell>
          <cell r="BD176">
            <v>3486.373</v>
          </cell>
          <cell r="BE176">
            <v>3458.9229999999998</v>
          </cell>
          <cell r="BF176">
            <v>3432.663</v>
          </cell>
          <cell r="BG176">
            <v>3406.03</v>
          </cell>
          <cell r="BH176">
            <v>3376.761</v>
          </cell>
          <cell r="BI176">
            <v>3343.268</v>
          </cell>
          <cell r="BJ176">
            <v>3305.529</v>
          </cell>
          <cell r="BK176">
            <v>3264.3040000000001</v>
          </cell>
          <cell r="BL176">
            <v>3219.8020000000001</v>
          </cell>
          <cell r="BM176">
            <v>3172.4360000000001</v>
          </cell>
          <cell r="BN176">
            <v>3122.835</v>
          </cell>
          <cell r="BO176">
            <v>3070.5929999999998</v>
          </cell>
          <cell r="BP176">
            <v>3016.4960000000001</v>
          </cell>
          <cell r="BQ176">
            <v>2963.81</v>
          </cell>
          <cell r="BR176">
            <v>2916.7979999999998</v>
          </cell>
          <cell r="BS176">
            <v>2878.4050000000002</v>
          </cell>
        </row>
        <row r="177">
          <cell r="E177">
            <v>578</v>
          </cell>
          <cell r="F177">
            <v>3265.2779999999998</v>
          </cell>
          <cell r="G177">
            <v>3300.422</v>
          </cell>
          <cell r="H177">
            <v>3333.895</v>
          </cell>
          <cell r="I177">
            <v>3366.2809999999999</v>
          </cell>
          <cell r="J177">
            <v>3398.0279999999998</v>
          </cell>
          <cell r="K177">
            <v>3429.431</v>
          </cell>
          <cell r="L177">
            <v>3460.64</v>
          </cell>
          <cell r="M177">
            <v>3491.6570000000002</v>
          </cell>
          <cell r="N177">
            <v>3522.3609999999999</v>
          </cell>
          <cell r="O177">
            <v>3552.5450000000001</v>
          </cell>
          <cell r="P177">
            <v>3582.0160000000001</v>
          </cell>
          <cell r="Q177">
            <v>3610.71</v>
          </cell>
          <cell r="R177">
            <v>3638.7910000000002</v>
          </cell>
          <cell r="S177">
            <v>3666.69</v>
          </cell>
          <cell r="T177">
            <v>3694.9870000000001</v>
          </cell>
          <cell r="U177">
            <v>3724.0650000000001</v>
          </cell>
          <cell r="V177">
            <v>3754.01</v>
          </cell>
          <cell r="W177">
            <v>3784.5790000000002</v>
          </cell>
          <cell r="X177">
            <v>3815.3989999999999</v>
          </cell>
          <cell r="Y177">
            <v>3845.9319999999998</v>
          </cell>
          <cell r="Z177">
            <v>3875.7190000000001</v>
          </cell>
          <cell r="AA177">
            <v>3904.75</v>
          </cell>
          <cell r="AB177">
            <v>3932.9450000000002</v>
          </cell>
          <cell r="AC177">
            <v>3959.7049999999999</v>
          </cell>
          <cell r="AD177">
            <v>3984.2910000000002</v>
          </cell>
          <cell r="AE177">
            <v>4006.221</v>
          </cell>
          <cell r="AF177">
            <v>4025.297</v>
          </cell>
          <cell r="AG177">
            <v>4041.7890000000002</v>
          </cell>
          <cell r="AH177">
            <v>4056.28</v>
          </cell>
          <cell r="AI177">
            <v>4069.6260000000002</v>
          </cell>
          <cell r="AJ177">
            <v>4082.5250000000001</v>
          </cell>
          <cell r="AK177">
            <v>4095.1770000000001</v>
          </cell>
          <cell r="AL177">
            <v>4107.6549999999997</v>
          </cell>
          <cell r="AM177">
            <v>4120.3860000000004</v>
          </cell>
          <cell r="AN177">
            <v>4133.8329999999996</v>
          </cell>
          <cell r="AO177">
            <v>4148.3549999999996</v>
          </cell>
          <cell r="AP177">
            <v>4164.1660000000002</v>
          </cell>
          <cell r="AQ177">
            <v>4181.326</v>
          </cell>
          <cell r="AR177">
            <v>4199.817</v>
          </cell>
          <cell r="AS177">
            <v>4219.5320000000002</v>
          </cell>
          <cell r="AT177">
            <v>4240.375</v>
          </cell>
          <cell r="AU177">
            <v>4262.3670000000002</v>
          </cell>
          <cell r="AV177">
            <v>4285.5039999999999</v>
          </cell>
          <cell r="AW177">
            <v>4309.6059999999998</v>
          </cell>
          <cell r="AX177">
            <v>4334.4340000000002</v>
          </cell>
          <cell r="AY177">
            <v>4359.7879999999996</v>
          </cell>
          <cell r="AZ177">
            <v>4385.951</v>
          </cell>
          <cell r="BA177">
            <v>4412.9579999999996</v>
          </cell>
          <cell r="BB177">
            <v>4440.1090000000004</v>
          </cell>
          <cell r="BC177">
            <v>4466.4679999999998</v>
          </cell>
          <cell r="BD177">
            <v>4491.5720000000001</v>
          </cell>
          <cell r="BE177">
            <v>4514.9070000000002</v>
          </cell>
          <cell r="BF177">
            <v>4537.24</v>
          </cell>
          <cell r="BG177">
            <v>4560.9470000000001</v>
          </cell>
          <cell r="BH177">
            <v>4589.241</v>
          </cell>
          <cell r="BI177">
            <v>4624.3879999999999</v>
          </cell>
          <cell r="BJ177">
            <v>4667.1049999999996</v>
          </cell>
          <cell r="BK177">
            <v>4716.5839999999998</v>
          </cell>
          <cell r="BL177">
            <v>4771.6329999999998</v>
          </cell>
          <cell r="BM177">
            <v>4830.3710000000001</v>
          </cell>
          <cell r="BN177">
            <v>4891.2510000000002</v>
          </cell>
          <cell r="BO177">
            <v>4953.9449999999997</v>
          </cell>
          <cell r="BP177">
            <v>5018.3670000000002</v>
          </cell>
          <cell r="BQ177">
            <v>5083.45</v>
          </cell>
          <cell r="BR177">
            <v>5147.97</v>
          </cell>
          <cell r="BS177">
            <v>5210.9669999999996</v>
          </cell>
        </row>
        <row r="178">
          <cell r="E178">
            <v>752</v>
          </cell>
          <cell r="F178">
            <v>7009.9129999999996</v>
          </cell>
          <cell r="G178">
            <v>7072.08</v>
          </cell>
          <cell r="H178">
            <v>7125.5389999999998</v>
          </cell>
          <cell r="I178">
            <v>7173.1210000000001</v>
          </cell>
          <cell r="J178">
            <v>7217.1760000000004</v>
          </cell>
          <cell r="K178">
            <v>7259.5789999999997</v>
          </cell>
          <cell r="L178">
            <v>7301.7079999999996</v>
          </cell>
          <cell r="M178">
            <v>7344.4660000000003</v>
          </cell>
          <cell r="N178">
            <v>7388.317</v>
          </cell>
          <cell r="O178">
            <v>7433.3729999999996</v>
          </cell>
          <cell r="P178">
            <v>7479.6019999999999</v>
          </cell>
          <cell r="Q178">
            <v>7527.0810000000001</v>
          </cell>
          <cell r="R178">
            <v>7576.192</v>
          </cell>
          <cell r="S178">
            <v>7627.7219999999998</v>
          </cell>
          <cell r="T178">
            <v>7682.6030000000001</v>
          </cell>
          <cell r="U178">
            <v>7741.1670000000004</v>
          </cell>
          <cell r="V178">
            <v>7804.2</v>
          </cell>
          <cell r="W178">
            <v>7870.6419999999998</v>
          </cell>
          <cell r="X178">
            <v>7936.7259999999997</v>
          </cell>
          <cell r="Y178">
            <v>7997.38</v>
          </cell>
          <cell r="Z178">
            <v>8049.049</v>
          </cell>
          <cell r="AA178">
            <v>8090.0439999999999</v>
          </cell>
          <cell r="AB178">
            <v>8121.56</v>
          </cell>
          <cell r="AC178">
            <v>8146.4719999999998</v>
          </cell>
          <cell r="AD178">
            <v>8169.1409999999996</v>
          </cell>
          <cell r="AE178">
            <v>8192.6929999999993</v>
          </cell>
          <cell r="AF178">
            <v>8218.6299999999992</v>
          </cell>
          <cell r="AG178">
            <v>8245.9750000000004</v>
          </cell>
          <cell r="AH178">
            <v>8272.4989999999998</v>
          </cell>
          <cell r="AI178">
            <v>8294.8320000000003</v>
          </cell>
          <cell r="AJ178">
            <v>8310.9150000000009</v>
          </cell>
          <cell r="AK178">
            <v>8319.81</v>
          </cell>
          <cell r="AL178">
            <v>8323.4660000000003</v>
          </cell>
          <cell r="AM178">
            <v>8326.1959999999999</v>
          </cell>
          <cell r="AN178">
            <v>8333.9040000000005</v>
          </cell>
          <cell r="AO178">
            <v>8350.8140000000003</v>
          </cell>
          <cell r="AP178">
            <v>8377.8629999999994</v>
          </cell>
          <cell r="AQ178">
            <v>8413.6579999999994</v>
          </cell>
          <cell r="AR178">
            <v>8457.1080000000002</v>
          </cell>
          <cell r="AS178">
            <v>8506.2360000000008</v>
          </cell>
          <cell r="AT178">
            <v>8559.107</v>
          </cell>
          <cell r="AU178">
            <v>8616.5349999999999</v>
          </cell>
          <cell r="AV178">
            <v>8677.7870000000003</v>
          </cell>
          <cell r="AW178">
            <v>8737.5</v>
          </cell>
          <cell r="AX178">
            <v>8788.6959999999999</v>
          </cell>
          <cell r="AY178">
            <v>8826.7199999999993</v>
          </cell>
          <cell r="AZ178">
            <v>8849.42</v>
          </cell>
          <cell r="BA178">
            <v>8859.1059999999998</v>
          </cell>
          <cell r="BB178">
            <v>8861.2039999999997</v>
          </cell>
          <cell r="BC178">
            <v>8863.5949999999993</v>
          </cell>
          <cell r="BD178">
            <v>8872.2839999999997</v>
          </cell>
          <cell r="BE178">
            <v>8888.6749999999993</v>
          </cell>
          <cell r="BF178">
            <v>8911.8989999999994</v>
          </cell>
          <cell r="BG178">
            <v>8942.9259999999995</v>
          </cell>
          <cell r="BH178">
            <v>8982.2819999999992</v>
          </cell>
          <cell r="BI178">
            <v>9030.1630000000005</v>
          </cell>
          <cell r="BJ178">
            <v>9087.2510000000002</v>
          </cell>
          <cell r="BK178">
            <v>9153.3160000000007</v>
          </cell>
          <cell r="BL178">
            <v>9226.3330000000005</v>
          </cell>
          <cell r="BM178">
            <v>9303.4320000000007</v>
          </cell>
          <cell r="BN178">
            <v>9382.2970000000005</v>
          </cell>
          <cell r="BO178">
            <v>9462.3520000000008</v>
          </cell>
          <cell r="BP178">
            <v>9543.4570000000003</v>
          </cell>
          <cell r="BQ178">
            <v>9624.2469999999994</v>
          </cell>
          <cell r="BR178">
            <v>9703.2469999999994</v>
          </cell>
          <cell r="BS178">
            <v>9779.4259999999995</v>
          </cell>
        </row>
        <row r="179">
          <cell r="E179">
            <v>826</v>
          </cell>
          <cell r="F179">
            <v>50616.012000000002</v>
          </cell>
          <cell r="G179">
            <v>50620.538</v>
          </cell>
          <cell r="H179">
            <v>50683.595999999998</v>
          </cell>
          <cell r="I179">
            <v>50792.671000000002</v>
          </cell>
          <cell r="J179">
            <v>50938.226999999999</v>
          </cell>
          <cell r="K179">
            <v>51113.711000000003</v>
          </cell>
          <cell r="L179">
            <v>51315.724000000002</v>
          </cell>
          <cell r="M179">
            <v>51543.847000000002</v>
          </cell>
          <cell r="N179">
            <v>51800.116999999998</v>
          </cell>
          <cell r="O179">
            <v>52088.146999999997</v>
          </cell>
          <cell r="P179">
            <v>52410.495999999999</v>
          </cell>
          <cell r="Q179">
            <v>52765.864000000001</v>
          </cell>
          <cell r="R179">
            <v>53146.633999999998</v>
          </cell>
          <cell r="S179">
            <v>53537.821000000004</v>
          </cell>
          <cell r="T179">
            <v>53920.055</v>
          </cell>
          <cell r="U179">
            <v>54278.349000000002</v>
          </cell>
          <cell r="V179">
            <v>54606.608</v>
          </cell>
          <cell r="W179">
            <v>54904.68</v>
          </cell>
          <cell r="X179">
            <v>55171.084000000003</v>
          </cell>
          <cell r="Y179">
            <v>55406.434999999998</v>
          </cell>
          <cell r="Z179">
            <v>55611.400999999998</v>
          </cell>
          <cell r="AA179">
            <v>55785.324999999997</v>
          </cell>
          <cell r="AB179">
            <v>55927.491999999998</v>
          </cell>
          <cell r="AC179">
            <v>56039.165999999997</v>
          </cell>
          <cell r="AD179">
            <v>56122.404999999999</v>
          </cell>
          <cell r="AE179">
            <v>56179.925000000003</v>
          </cell>
          <cell r="AF179">
            <v>56212.942999999999</v>
          </cell>
          <cell r="AG179">
            <v>56224.944000000003</v>
          </cell>
          <cell r="AH179">
            <v>56223.974000000002</v>
          </cell>
          <cell r="AI179">
            <v>56220.089</v>
          </cell>
          <cell r="AJ179">
            <v>56221.512999999999</v>
          </cell>
          <cell r="AK179">
            <v>56231.02</v>
          </cell>
          <cell r="AL179">
            <v>56250.124000000003</v>
          </cell>
          <cell r="AM179">
            <v>56283.959000000003</v>
          </cell>
          <cell r="AN179">
            <v>56337.847999999998</v>
          </cell>
          <cell r="AO179">
            <v>56415.196000000004</v>
          </cell>
          <cell r="AP179">
            <v>56519.444000000003</v>
          </cell>
          <cell r="AQ179">
            <v>56649.375</v>
          </cell>
          <cell r="AR179">
            <v>56797.703999999998</v>
          </cell>
          <cell r="AS179">
            <v>56953.860999999997</v>
          </cell>
          <cell r="AT179">
            <v>57110.116999999998</v>
          </cell>
          <cell r="AU179">
            <v>57264.6</v>
          </cell>
          <cell r="AV179">
            <v>57419.468999999997</v>
          </cell>
          <cell r="AW179">
            <v>57575.968999999997</v>
          </cell>
          <cell r="AX179">
            <v>57736.667000000001</v>
          </cell>
          <cell r="AY179">
            <v>57903.79</v>
          </cell>
          <cell r="AZ179">
            <v>58079.322</v>
          </cell>
          <cell r="BA179">
            <v>58263.858</v>
          </cell>
          <cell r="BB179">
            <v>58456.989000000001</v>
          </cell>
          <cell r="BC179">
            <v>58657.794000000002</v>
          </cell>
          <cell r="BD179">
            <v>58867.004000000001</v>
          </cell>
          <cell r="BE179">
            <v>59080.220999999998</v>
          </cell>
          <cell r="BF179">
            <v>59301.235000000001</v>
          </cell>
          <cell r="BG179">
            <v>59548.421000000002</v>
          </cell>
          <cell r="BH179">
            <v>59846.226000000002</v>
          </cell>
          <cell r="BI179">
            <v>60210.012000000002</v>
          </cell>
          <cell r="BJ179">
            <v>60648.85</v>
          </cell>
          <cell r="BK179">
            <v>61151.82</v>
          </cell>
          <cell r="BL179">
            <v>61689.62</v>
          </cell>
          <cell r="BM179">
            <v>62221.163999999997</v>
          </cell>
          <cell r="BN179">
            <v>62716.684000000001</v>
          </cell>
          <cell r="BO179">
            <v>63164.949000000001</v>
          </cell>
          <cell r="BP179">
            <v>63573.766000000003</v>
          </cell>
          <cell r="BQ179">
            <v>63955.654000000002</v>
          </cell>
          <cell r="BR179">
            <v>64331.347999999998</v>
          </cell>
          <cell r="BS179">
            <v>64715.81</v>
          </cell>
        </row>
        <row r="180">
          <cell r="E180">
            <v>925</v>
          </cell>
          <cell r="F180">
            <v>108632.97900000001</v>
          </cell>
          <cell r="G180">
            <v>109581.659</v>
          </cell>
          <cell r="H180">
            <v>110552.501</v>
          </cell>
          <cell r="I180">
            <v>111520.08199999999</v>
          </cell>
          <cell r="J180">
            <v>112467.73</v>
          </cell>
          <cell r="K180">
            <v>113387.516</v>
          </cell>
          <cell r="L180">
            <v>114280.745</v>
          </cell>
          <cell r="M180">
            <v>115157.47500000001</v>
          </cell>
          <cell r="N180">
            <v>116035.054</v>
          </cell>
          <cell r="O180">
            <v>116935.719</v>
          </cell>
          <cell r="P180">
            <v>117879.333</v>
          </cell>
          <cell r="Q180">
            <v>118875.66800000001</v>
          </cell>
          <cell r="R180">
            <v>119917.621</v>
          </cell>
          <cell r="S180">
            <v>120978.329</v>
          </cell>
          <cell r="T180">
            <v>122019.375</v>
          </cell>
          <cell r="U180">
            <v>123014.96799999999</v>
          </cell>
          <cell r="V180">
            <v>123951.81600000001</v>
          </cell>
          <cell r="W180">
            <v>124843.29300000001</v>
          </cell>
          <cell r="X180">
            <v>125722.36500000001</v>
          </cell>
          <cell r="Y180">
            <v>126636.197</v>
          </cell>
          <cell r="Z180">
            <v>127617.327</v>
          </cell>
          <cell r="AA180">
            <v>128673.041</v>
          </cell>
          <cell r="AB180">
            <v>129787.61</v>
          </cell>
          <cell r="AC180">
            <v>130941.86900000001</v>
          </cell>
          <cell r="AD180">
            <v>132106.902</v>
          </cell>
          <cell r="AE180">
            <v>133258.524</v>
          </cell>
          <cell r="AF180">
            <v>134392.02100000001</v>
          </cell>
          <cell r="AG180">
            <v>135504.296</v>
          </cell>
          <cell r="AH180">
            <v>136574.277</v>
          </cell>
          <cell r="AI180">
            <v>137577.25099999999</v>
          </cell>
          <cell r="AJ180">
            <v>138495.01800000001</v>
          </cell>
          <cell r="AK180">
            <v>139318.25099999999</v>
          </cell>
          <cell r="AL180">
            <v>140048.16699999999</v>
          </cell>
          <cell r="AM180">
            <v>140691.06099999999</v>
          </cell>
          <cell r="AN180">
            <v>141258.88800000001</v>
          </cell>
          <cell r="AO180">
            <v>141761.59700000001</v>
          </cell>
          <cell r="AP180">
            <v>142202.15100000001</v>
          </cell>
          <cell r="AQ180">
            <v>142580.99100000001</v>
          </cell>
          <cell r="AR180">
            <v>142903.44899999999</v>
          </cell>
          <cell r="AS180">
            <v>143175.54699999999</v>
          </cell>
          <cell r="AT180">
            <v>143403.79300000001</v>
          </cell>
          <cell r="AU180">
            <v>143600.96100000001</v>
          </cell>
          <cell r="AV180">
            <v>143775.71100000001</v>
          </cell>
          <cell r="AW180">
            <v>143926.64499999999</v>
          </cell>
          <cell r="AX180">
            <v>144049.19399999999</v>
          </cell>
          <cell r="AY180">
            <v>144146.54800000001</v>
          </cell>
          <cell r="AZ180">
            <v>144207.109</v>
          </cell>
          <cell r="BA180">
            <v>144250.9</v>
          </cell>
          <cell r="BB180">
            <v>144349.709</v>
          </cell>
          <cell r="BC180">
            <v>144597.97700000001</v>
          </cell>
          <cell r="BD180">
            <v>145058.07</v>
          </cell>
          <cell r="BE180">
            <v>145751.33300000001</v>
          </cell>
          <cell r="BF180">
            <v>146642.39000000001</v>
          </cell>
          <cell r="BG180">
            <v>147664.64799999999</v>
          </cell>
          <cell r="BH180">
            <v>148721.67300000001</v>
          </cell>
          <cell r="BI180">
            <v>149735.39499999999</v>
          </cell>
          <cell r="BJ180">
            <v>150697.11799999999</v>
          </cell>
          <cell r="BK180">
            <v>151604.736</v>
          </cell>
          <cell r="BL180">
            <v>152395.58499999999</v>
          </cell>
          <cell r="BM180">
            <v>152996.288</v>
          </cell>
          <cell r="BN180">
            <v>153360.03599999999</v>
          </cell>
          <cell r="BO180">
            <v>153450.66200000001</v>
          </cell>
          <cell r="BP180">
            <v>153292.45600000001</v>
          </cell>
          <cell r="BQ180">
            <v>152975.622</v>
          </cell>
          <cell r="BR180">
            <v>152629.28599999999</v>
          </cell>
          <cell r="BS180">
            <v>152347.89199999999</v>
          </cell>
        </row>
        <row r="181">
          <cell r="E181">
            <v>8</v>
          </cell>
          <cell r="F181">
            <v>1263.171</v>
          </cell>
          <cell r="G181">
            <v>1287.499</v>
          </cell>
          <cell r="H181">
            <v>1316.086</v>
          </cell>
          <cell r="I181">
            <v>1348.097</v>
          </cell>
          <cell r="J181">
            <v>1382.8810000000001</v>
          </cell>
          <cell r="K181">
            <v>1419.9690000000001</v>
          </cell>
          <cell r="L181">
            <v>1459.0889999999999</v>
          </cell>
          <cell r="M181">
            <v>1500.152</v>
          </cell>
          <cell r="N181">
            <v>1543.2239999999999</v>
          </cell>
          <cell r="O181">
            <v>1588.4780000000001</v>
          </cell>
          <cell r="P181">
            <v>1636.0540000000001</v>
          </cell>
          <cell r="Q181">
            <v>1685.9010000000001</v>
          </cell>
          <cell r="R181">
            <v>1737.645</v>
          </cell>
          <cell r="S181">
            <v>1790.5329999999999</v>
          </cell>
          <cell r="T181">
            <v>1843.596</v>
          </cell>
          <cell r="U181">
            <v>1896.125</v>
          </cell>
          <cell r="V181">
            <v>1947.7860000000001</v>
          </cell>
          <cell r="W181">
            <v>1998.6949999999999</v>
          </cell>
          <cell r="X181">
            <v>2049.1469999999999</v>
          </cell>
          <cell r="Y181">
            <v>2099.6570000000002</v>
          </cell>
          <cell r="Z181">
            <v>2150.6019999999999</v>
          </cell>
          <cell r="AA181">
            <v>2202.04</v>
          </cell>
          <cell r="AB181">
            <v>2253.8420000000001</v>
          </cell>
          <cell r="AC181">
            <v>2305.9989999999998</v>
          </cell>
          <cell r="AD181">
            <v>2358.4670000000001</v>
          </cell>
          <cell r="AE181">
            <v>2411.2289999999998</v>
          </cell>
          <cell r="AF181">
            <v>2464.3380000000002</v>
          </cell>
          <cell r="AG181">
            <v>2517.8690000000001</v>
          </cell>
          <cell r="AH181">
            <v>2571.8449999999998</v>
          </cell>
          <cell r="AI181">
            <v>2626.29</v>
          </cell>
          <cell r="AJ181">
            <v>2681.2449999999999</v>
          </cell>
          <cell r="AK181">
            <v>2735.3290000000002</v>
          </cell>
          <cell r="AL181">
            <v>2788.3150000000001</v>
          </cell>
          <cell r="AM181">
            <v>2842.62</v>
          </cell>
          <cell r="AN181">
            <v>2901.59</v>
          </cell>
          <cell r="AO181">
            <v>2966.799</v>
          </cell>
          <cell r="AP181">
            <v>3041.0030000000002</v>
          </cell>
          <cell r="AQ181">
            <v>3121.3359999999998</v>
          </cell>
          <cell r="AR181">
            <v>3197.0639999999999</v>
          </cell>
          <cell r="AS181">
            <v>3253.6590000000001</v>
          </cell>
          <cell r="AT181">
            <v>3281.453</v>
          </cell>
          <cell r="AU181">
            <v>3275.4380000000001</v>
          </cell>
          <cell r="AV181">
            <v>3240.6129999999998</v>
          </cell>
          <cell r="AW181">
            <v>3189.623</v>
          </cell>
          <cell r="AX181">
            <v>3140.634</v>
          </cell>
          <cell r="AY181">
            <v>3106.7269999999999</v>
          </cell>
          <cell r="AZ181">
            <v>3092.0340000000001</v>
          </cell>
          <cell r="BA181">
            <v>3092.471</v>
          </cell>
          <cell r="BB181">
            <v>3102.8980000000001</v>
          </cell>
          <cell r="BC181">
            <v>3114.8510000000001</v>
          </cell>
          <cell r="BD181">
            <v>3121.9650000000001</v>
          </cell>
          <cell r="BE181">
            <v>3124.0929999999998</v>
          </cell>
          <cell r="BF181">
            <v>3123.1120000000001</v>
          </cell>
          <cell r="BG181">
            <v>3117.0450000000001</v>
          </cell>
          <cell r="BH181">
            <v>3103.7579999999998</v>
          </cell>
          <cell r="BI181">
            <v>3082.172</v>
          </cell>
          <cell r="BJ181">
            <v>3050.741</v>
          </cell>
          <cell r="BK181">
            <v>3010.8490000000002</v>
          </cell>
          <cell r="BL181">
            <v>2968.0259999999998</v>
          </cell>
          <cell r="BM181">
            <v>2929.886</v>
          </cell>
          <cell r="BN181">
            <v>2901.8829999999998</v>
          </cell>
          <cell r="BO181">
            <v>2886.01</v>
          </cell>
          <cell r="BP181">
            <v>2880.6669999999999</v>
          </cell>
          <cell r="BQ181">
            <v>2883.2809999999999</v>
          </cell>
          <cell r="BR181">
            <v>2889.6759999999999</v>
          </cell>
          <cell r="BS181">
            <v>2896.6790000000001</v>
          </cell>
        </row>
        <row r="182">
          <cell r="E182">
            <v>20</v>
          </cell>
          <cell r="F182">
            <v>6.1970000000000001</v>
          </cell>
          <cell r="G182">
            <v>6.6920000000000002</v>
          </cell>
          <cell r="H182">
            <v>7.25</v>
          </cell>
          <cell r="I182">
            <v>7.8630000000000004</v>
          </cell>
          <cell r="J182">
            <v>8.5259999999999998</v>
          </cell>
          <cell r="K182">
            <v>9.2349999999999994</v>
          </cell>
          <cell r="L182">
            <v>9.9870000000000001</v>
          </cell>
          <cell r="M182">
            <v>10.781000000000001</v>
          </cell>
          <cell r="N182">
            <v>11.616</v>
          </cell>
          <cell r="O182">
            <v>12.494</v>
          </cell>
          <cell r="P182">
            <v>13.414</v>
          </cell>
          <cell r="Q182">
            <v>14.375999999999999</v>
          </cell>
          <cell r="R182">
            <v>15.375999999999999</v>
          </cell>
          <cell r="S182">
            <v>16.41</v>
          </cell>
          <cell r="T182">
            <v>17.47</v>
          </cell>
          <cell r="U182">
            <v>18.550999999999998</v>
          </cell>
          <cell r="V182">
            <v>19.646000000000001</v>
          </cell>
          <cell r="W182">
            <v>20.754999999999999</v>
          </cell>
          <cell r="X182">
            <v>21.888000000000002</v>
          </cell>
          <cell r="Y182">
            <v>23.061</v>
          </cell>
          <cell r="Z182">
            <v>24.279</v>
          </cell>
          <cell r="AA182">
            <v>25.56</v>
          </cell>
          <cell r="AB182">
            <v>26.891999999999999</v>
          </cell>
          <cell r="AC182">
            <v>28.231000000000002</v>
          </cell>
          <cell r="AD182">
            <v>29.513999999999999</v>
          </cell>
          <cell r="AE182">
            <v>30.706</v>
          </cell>
          <cell r="AF182">
            <v>31.780999999999999</v>
          </cell>
          <cell r="AG182">
            <v>32.768999999999998</v>
          </cell>
          <cell r="AH182">
            <v>33.746000000000002</v>
          </cell>
          <cell r="AI182">
            <v>34.819000000000003</v>
          </cell>
          <cell r="AJ182">
            <v>36.063000000000002</v>
          </cell>
          <cell r="AK182">
            <v>37.502000000000002</v>
          </cell>
          <cell r="AL182">
            <v>39.112000000000002</v>
          </cell>
          <cell r="AM182">
            <v>40.862000000000002</v>
          </cell>
          <cell r="AN182">
            <v>42.704000000000001</v>
          </cell>
          <cell r="AO182">
            <v>44.597000000000001</v>
          </cell>
          <cell r="AP182">
            <v>46.515000000000001</v>
          </cell>
          <cell r="AQ182">
            <v>48.457999999999998</v>
          </cell>
          <cell r="AR182">
            <v>50.430999999999997</v>
          </cell>
          <cell r="AS182">
            <v>52.448999999999998</v>
          </cell>
          <cell r="AT182">
            <v>54.511000000000003</v>
          </cell>
          <cell r="AU182">
            <v>56.673999999999999</v>
          </cell>
          <cell r="AV182">
            <v>58.904000000000003</v>
          </cell>
          <cell r="AW182">
            <v>61.003</v>
          </cell>
          <cell r="AX182">
            <v>62.707000000000001</v>
          </cell>
          <cell r="AY182">
            <v>63.853999999999999</v>
          </cell>
          <cell r="AZ182">
            <v>64.290999999999997</v>
          </cell>
          <cell r="BA182">
            <v>64.147000000000006</v>
          </cell>
          <cell r="BB182">
            <v>63.887999999999998</v>
          </cell>
          <cell r="BC182">
            <v>64.161000000000001</v>
          </cell>
          <cell r="BD182">
            <v>65.399000000000001</v>
          </cell>
          <cell r="BE182">
            <v>67.77</v>
          </cell>
          <cell r="BF182">
            <v>71.046000000000006</v>
          </cell>
          <cell r="BG182">
            <v>74.783000000000001</v>
          </cell>
          <cell r="BH182">
            <v>78.337000000000003</v>
          </cell>
          <cell r="BI182">
            <v>81.222999999999999</v>
          </cell>
          <cell r="BJ182">
            <v>83.373000000000005</v>
          </cell>
          <cell r="BK182">
            <v>84.878</v>
          </cell>
          <cell r="BL182">
            <v>85.616</v>
          </cell>
          <cell r="BM182">
            <v>85.474000000000004</v>
          </cell>
          <cell r="BN182">
            <v>84.418999999999997</v>
          </cell>
          <cell r="BO182">
            <v>82.325999999999993</v>
          </cell>
          <cell r="BP182">
            <v>79.316000000000003</v>
          </cell>
          <cell r="BQ182">
            <v>75.902000000000001</v>
          </cell>
          <cell r="BR182">
            <v>72.786000000000001</v>
          </cell>
          <cell r="BS182">
            <v>70.472999999999999</v>
          </cell>
        </row>
        <row r="183">
          <cell r="E183">
            <v>70</v>
          </cell>
          <cell r="F183">
            <v>2661.2930000000001</v>
          </cell>
          <cell r="G183">
            <v>2709.913</v>
          </cell>
          <cell r="H183">
            <v>2763.2979999999998</v>
          </cell>
          <cell r="I183">
            <v>2819.107</v>
          </cell>
          <cell r="J183">
            <v>2875.6410000000001</v>
          </cell>
          <cell r="K183">
            <v>2931.8490000000002</v>
          </cell>
          <cell r="L183">
            <v>2987.3539999999998</v>
          </cell>
          <cell r="M183">
            <v>3042.4279999999999</v>
          </cell>
          <cell r="N183">
            <v>3097.8820000000001</v>
          </cell>
          <cell r="O183">
            <v>3154.8989999999999</v>
          </cell>
          <cell r="P183">
            <v>3214.52</v>
          </cell>
          <cell r="Q183">
            <v>3277.096</v>
          </cell>
          <cell r="R183">
            <v>3341.8090000000002</v>
          </cell>
          <cell r="S183">
            <v>3406.4659999999999</v>
          </cell>
          <cell r="T183">
            <v>3468.0830000000001</v>
          </cell>
          <cell r="U183">
            <v>3524.596</v>
          </cell>
          <cell r="V183">
            <v>3574.9720000000002</v>
          </cell>
          <cell r="W183">
            <v>3619.9969999999998</v>
          </cell>
          <cell r="X183">
            <v>3661.6419999999998</v>
          </cell>
          <cell r="Y183">
            <v>3702.8339999999998</v>
          </cell>
          <cell r="Z183">
            <v>3745.6370000000002</v>
          </cell>
          <cell r="AA183">
            <v>3790.9479999999999</v>
          </cell>
          <cell r="AB183">
            <v>3838.002</v>
          </cell>
          <cell r="AC183">
            <v>3885.2289999999998</v>
          </cell>
          <cell r="AD183">
            <v>3930.2829999999999</v>
          </cell>
          <cell r="AE183">
            <v>3971.6080000000002</v>
          </cell>
          <cell r="AF183">
            <v>4008.4110000000001</v>
          </cell>
          <cell r="AG183">
            <v>4041.623</v>
          </cell>
          <cell r="AH183">
            <v>4073.48</v>
          </cell>
          <cell r="AI183">
            <v>4107.1350000000002</v>
          </cell>
          <cell r="AJ183">
            <v>4144.7259999999997</v>
          </cell>
          <cell r="AK183">
            <v>4185.0739999999996</v>
          </cell>
          <cell r="AL183">
            <v>4226.6629999999996</v>
          </cell>
          <cell r="AM183">
            <v>4270.598</v>
          </cell>
          <cell r="AN183">
            <v>4318.3010000000004</v>
          </cell>
          <cell r="AO183">
            <v>4369.527</v>
          </cell>
          <cell r="AP183">
            <v>4428.46</v>
          </cell>
          <cell r="AQ183">
            <v>4491.7449999999999</v>
          </cell>
          <cell r="AR183">
            <v>4542.7569999999996</v>
          </cell>
          <cell r="AS183">
            <v>4559.2560000000003</v>
          </cell>
          <cell r="AT183">
            <v>4526.9960000000001</v>
          </cell>
          <cell r="AU183">
            <v>4437.8980000000001</v>
          </cell>
          <cell r="AV183">
            <v>4301.1689999999999</v>
          </cell>
          <cell r="AW183">
            <v>4141.1670000000004</v>
          </cell>
          <cell r="AX183">
            <v>3992.2559999999999</v>
          </cell>
          <cell r="AY183">
            <v>3879.2779999999998</v>
          </cell>
          <cell r="AZ183">
            <v>3810.6489999999999</v>
          </cell>
          <cell r="BA183">
            <v>3779.3539999999998</v>
          </cell>
          <cell r="BB183">
            <v>3775.8980000000001</v>
          </cell>
          <cell r="BC183">
            <v>3784.3890000000001</v>
          </cell>
          <cell r="BD183">
            <v>3792.8780000000002</v>
          </cell>
          <cell r="BE183">
            <v>3799.7469999999998</v>
          </cell>
          <cell r="BF183">
            <v>3808.3470000000002</v>
          </cell>
          <cell r="BG183">
            <v>3817.3130000000001</v>
          </cell>
          <cell r="BH183">
            <v>3825.8719999999998</v>
          </cell>
          <cell r="BI183">
            <v>3833.377</v>
          </cell>
          <cell r="BJ183">
            <v>3838.5039999999999</v>
          </cell>
          <cell r="BK183">
            <v>3840.4180000000001</v>
          </cell>
          <cell r="BL183">
            <v>3839.7489999999998</v>
          </cell>
          <cell r="BM183">
            <v>3837.732</v>
          </cell>
          <cell r="BN183">
            <v>3835.2579999999998</v>
          </cell>
          <cell r="BO183">
            <v>3832.31</v>
          </cell>
          <cell r="BP183">
            <v>3828.4189999999999</v>
          </cell>
          <cell r="BQ183">
            <v>3823.5329999999999</v>
          </cell>
          <cell r="BR183">
            <v>3817.5540000000001</v>
          </cell>
          <cell r="BS183">
            <v>3810.4160000000002</v>
          </cell>
        </row>
        <row r="184">
          <cell r="E184">
            <v>191</v>
          </cell>
          <cell r="F184">
            <v>3850.2950000000001</v>
          </cell>
          <cell r="G184">
            <v>3886.2220000000002</v>
          </cell>
          <cell r="H184">
            <v>3922.6750000000002</v>
          </cell>
          <cell r="I184">
            <v>3959.1190000000001</v>
          </cell>
          <cell r="J184">
            <v>3995.136</v>
          </cell>
          <cell r="K184">
            <v>4030.4180000000001</v>
          </cell>
          <cell r="L184">
            <v>4064.7739999999999</v>
          </cell>
          <cell r="M184">
            <v>4098.1260000000002</v>
          </cell>
          <cell r="N184">
            <v>4130.4930000000004</v>
          </cell>
          <cell r="O184">
            <v>4161.9660000000003</v>
          </cell>
          <cell r="P184">
            <v>4192.634</v>
          </cell>
          <cell r="Q184">
            <v>4222.5020000000004</v>
          </cell>
          <cell r="R184">
            <v>4251.4210000000003</v>
          </cell>
          <cell r="S184">
            <v>4279.058</v>
          </cell>
          <cell r="T184">
            <v>4304.9840000000004</v>
          </cell>
          <cell r="U184">
            <v>4328.92</v>
          </cell>
          <cell r="V184">
            <v>4350.8149999999996</v>
          </cell>
          <cell r="W184">
            <v>4370.8559999999998</v>
          </cell>
          <cell r="X184">
            <v>4389.3209999999999</v>
          </cell>
          <cell r="Y184">
            <v>4406.607</v>
          </cell>
          <cell r="Z184">
            <v>4423.0730000000003</v>
          </cell>
          <cell r="AA184">
            <v>4438.8180000000002</v>
          </cell>
          <cell r="AB184">
            <v>4453.9849999999997</v>
          </cell>
          <cell r="AC184">
            <v>4469.0349999999999</v>
          </cell>
          <cell r="AD184">
            <v>4484.5209999999997</v>
          </cell>
          <cell r="AE184">
            <v>4500.8680000000004</v>
          </cell>
          <cell r="AF184">
            <v>4518.1030000000001</v>
          </cell>
          <cell r="AG184">
            <v>4536.1980000000003</v>
          </cell>
          <cell r="AH184">
            <v>4555.4129999999996</v>
          </cell>
          <cell r="AI184">
            <v>4576.03</v>
          </cell>
          <cell r="AJ184">
            <v>4598.1260000000002</v>
          </cell>
          <cell r="AK184">
            <v>4621.4179999999997</v>
          </cell>
          <cell r="AL184">
            <v>4645.4089999999997</v>
          </cell>
          <cell r="AM184">
            <v>4669.6139999999996</v>
          </cell>
          <cell r="AN184">
            <v>4693.4319999999998</v>
          </cell>
          <cell r="AO184">
            <v>4716.1170000000002</v>
          </cell>
          <cell r="AP184">
            <v>4737.9489999999996</v>
          </cell>
          <cell r="AQ184">
            <v>4758.152</v>
          </cell>
          <cell r="AR184">
            <v>4773.683</v>
          </cell>
          <cell r="AS184">
            <v>4780.6270000000004</v>
          </cell>
          <cell r="AT184">
            <v>4776.3739999999998</v>
          </cell>
          <cell r="AU184">
            <v>4760.0029999999997</v>
          </cell>
          <cell r="AV184">
            <v>4732.8639999999996</v>
          </cell>
          <cell r="AW184">
            <v>4697.5360000000001</v>
          </cell>
          <cell r="AX184">
            <v>4657.799</v>
          </cell>
          <cell r="AY184">
            <v>4616.7619999999997</v>
          </cell>
          <cell r="AZ184">
            <v>4574.8530000000001</v>
          </cell>
          <cell r="BA184">
            <v>4532.2979999999998</v>
          </cell>
          <cell r="BB184">
            <v>4491.7420000000002</v>
          </cell>
          <cell r="BC184">
            <v>4456.2979999999998</v>
          </cell>
          <cell r="BD184">
            <v>4428.0690000000004</v>
          </cell>
          <cell r="BE184">
            <v>4408.4579999999996</v>
          </cell>
          <cell r="BF184">
            <v>4396.7650000000003</v>
          </cell>
          <cell r="BG184">
            <v>4390.2910000000002</v>
          </cell>
          <cell r="BH184">
            <v>4385.0450000000001</v>
          </cell>
          <cell r="BI184">
            <v>4378.0559999999996</v>
          </cell>
          <cell r="BJ184">
            <v>4368.518</v>
          </cell>
          <cell r="BK184">
            <v>4357.1139999999996</v>
          </cell>
          <cell r="BL184">
            <v>4344.1509999999998</v>
          </cell>
          <cell r="BM184">
            <v>4330.3990000000003</v>
          </cell>
          <cell r="BN184">
            <v>4316.4250000000002</v>
          </cell>
          <cell r="BO184">
            <v>4302.0730000000003</v>
          </cell>
          <cell r="BP184">
            <v>4287.0150000000003</v>
          </cell>
          <cell r="BQ184">
            <v>4271.4970000000003</v>
          </cell>
          <cell r="BR184">
            <v>4255.8530000000001</v>
          </cell>
          <cell r="BS184">
            <v>4240.317</v>
          </cell>
        </row>
        <row r="185">
          <cell r="E185">
            <v>292</v>
          </cell>
          <cell r="F185">
            <v>20.498000000000001</v>
          </cell>
          <cell r="G185">
            <v>20.643999999999998</v>
          </cell>
          <cell r="H185">
            <v>20.773</v>
          </cell>
          <cell r="I185">
            <v>20.879000000000001</v>
          </cell>
          <cell r="J185">
            <v>20.960999999999999</v>
          </cell>
          <cell r="K185">
            <v>21.021999999999998</v>
          </cell>
          <cell r="L185">
            <v>21.073</v>
          </cell>
          <cell r="M185">
            <v>21.126999999999999</v>
          </cell>
          <cell r="N185">
            <v>21.207999999999998</v>
          </cell>
          <cell r="O185">
            <v>21.335999999999999</v>
          </cell>
          <cell r="P185">
            <v>21.529</v>
          </cell>
          <cell r="Q185">
            <v>21.797000000000001</v>
          </cell>
          <cell r="R185">
            <v>22.132999999999999</v>
          </cell>
          <cell r="S185">
            <v>22.51</v>
          </cell>
          <cell r="T185">
            <v>22.893999999999998</v>
          </cell>
          <cell r="U185">
            <v>23.256</v>
          </cell>
          <cell r="V185">
            <v>23.59</v>
          </cell>
          <cell r="W185">
            <v>23.901</v>
          </cell>
          <cell r="X185">
            <v>24.184999999999999</v>
          </cell>
          <cell r="Y185">
            <v>24.437999999999999</v>
          </cell>
          <cell r="Z185">
            <v>24.661000000000001</v>
          </cell>
          <cell r="AA185">
            <v>24.844000000000001</v>
          </cell>
          <cell r="AB185">
            <v>24.991</v>
          </cell>
          <cell r="AC185">
            <v>25.120999999999999</v>
          </cell>
          <cell r="AD185">
            <v>25.265999999999998</v>
          </cell>
          <cell r="AE185">
            <v>25.443000000000001</v>
          </cell>
          <cell r="AF185">
            <v>25.666</v>
          </cell>
          <cell r="AG185">
            <v>25.922000000000001</v>
          </cell>
          <cell r="AH185">
            <v>26.184999999999999</v>
          </cell>
          <cell r="AI185">
            <v>26.408999999999999</v>
          </cell>
          <cell r="AJ185">
            <v>26.568000000000001</v>
          </cell>
          <cell r="AK185">
            <v>26.651</v>
          </cell>
          <cell r="AL185">
            <v>26.670999999999999</v>
          </cell>
          <cell r="AM185">
            <v>26.65</v>
          </cell>
          <cell r="AN185">
            <v>26.620999999999999</v>
          </cell>
          <cell r="AO185">
            <v>26.611000000000001</v>
          </cell>
          <cell r="AP185">
            <v>26.623000000000001</v>
          </cell>
          <cell r="AQ185">
            <v>26.652999999999999</v>
          </cell>
          <cell r="AR185">
            <v>26.7</v>
          </cell>
          <cell r="AS185">
            <v>26.76</v>
          </cell>
          <cell r="AT185">
            <v>26.832999999999998</v>
          </cell>
          <cell r="AU185">
            <v>26.923999999999999</v>
          </cell>
          <cell r="AV185">
            <v>27.035</v>
          </cell>
          <cell r="AW185">
            <v>27.146000000000001</v>
          </cell>
          <cell r="AX185">
            <v>27.234999999999999</v>
          </cell>
          <cell r="AY185">
            <v>27.285</v>
          </cell>
          <cell r="AZ185">
            <v>27.283999999999999</v>
          </cell>
          <cell r="BA185">
            <v>27.245999999999999</v>
          </cell>
          <cell r="BB185">
            <v>27.210999999999999</v>
          </cell>
          <cell r="BC185">
            <v>27.233000000000001</v>
          </cell>
          <cell r="BD185">
            <v>27.350999999999999</v>
          </cell>
          <cell r="BE185">
            <v>27.58</v>
          </cell>
          <cell r="BF185">
            <v>27.902999999999999</v>
          </cell>
          <cell r="BG185">
            <v>28.29</v>
          </cell>
          <cell r="BH185">
            <v>28.693999999999999</v>
          </cell>
          <cell r="BI185">
            <v>29.08</v>
          </cell>
          <cell r="BJ185">
            <v>29.437000000000001</v>
          </cell>
          <cell r="BK185">
            <v>29.77</v>
          </cell>
          <cell r="BL185">
            <v>30.088999999999999</v>
          </cell>
          <cell r="BM185">
            <v>30.407</v>
          </cell>
          <cell r="BN185">
            <v>30.731999999999999</v>
          </cell>
          <cell r="BO185">
            <v>31.067</v>
          </cell>
          <cell r="BP185">
            <v>31.402000000000001</v>
          </cell>
          <cell r="BQ185">
            <v>31.72</v>
          </cell>
          <cell r="BR185">
            <v>31.997</v>
          </cell>
          <cell r="BS185">
            <v>32.216999999999999</v>
          </cell>
        </row>
        <row r="186">
          <cell r="E186">
            <v>300</v>
          </cell>
          <cell r="F186">
            <v>7566.0020000000004</v>
          </cell>
          <cell r="G186">
            <v>7635.277</v>
          </cell>
          <cell r="H186">
            <v>7706.0219999999999</v>
          </cell>
          <cell r="I186">
            <v>7779.4570000000003</v>
          </cell>
          <cell r="J186">
            <v>7856.0290000000005</v>
          </cell>
          <cell r="K186">
            <v>7935.4089999999997</v>
          </cell>
          <cell r="L186">
            <v>8016.4430000000002</v>
          </cell>
          <cell r="M186">
            <v>8097.2020000000002</v>
          </cell>
          <cell r="N186">
            <v>8175.14</v>
          </cell>
          <cell r="O186">
            <v>8247.3590000000004</v>
          </cell>
          <cell r="P186">
            <v>8311.3860000000004</v>
          </cell>
          <cell r="Q186">
            <v>8366.02</v>
          </cell>
          <cell r="R186">
            <v>8412.0589999999993</v>
          </cell>
          <cell r="S186">
            <v>8452.6170000000002</v>
          </cell>
          <cell r="T186">
            <v>8492.232</v>
          </cell>
          <cell r="U186">
            <v>8534.2520000000004</v>
          </cell>
          <cell r="V186">
            <v>8580.6</v>
          </cell>
          <cell r="W186">
            <v>8630.6720000000005</v>
          </cell>
          <cell r="X186">
            <v>8682.3510000000006</v>
          </cell>
          <cell r="Y186">
            <v>8732.3080000000009</v>
          </cell>
          <cell r="Z186">
            <v>8778.6759999999995</v>
          </cell>
          <cell r="AA186">
            <v>8819.2060000000001</v>
          </cell>
          <cell r="AB186">
            <v>8856.0969999999998</v>
          </cell>
          <cell r="AC186">
            <v>8897.1260000000002</v>
          </cell>
          <cell r="AD186">
            <v>8952.8619999999992</v>
          </cell>
          <cell r="AE186">
            <v>9030.08</v>
          </cell>
          <cell r="AF186">
            <v>9132.5310000000009</v>
          </cell>
          <cell r="AG186">
            <v>9255.7489999999998</v>
          </cell>
          <cell r="AH186">
            <v>9388.1880000000001</v>
          </cell>
          <cell r="AI186">
            <v>9513.5939999999991</v>
          </cell>
          <cell r="AJ186">
            <v>9620.2739999999994</v>
          </cell>
          <cell r="AK186">
            <v>9704.9470000000001</v>
          </cell>
          <cell r="AL186">
            <v>9771.25</v>
          </cell>
          <cell r="AM186">
            <v>9822.9989999999998</v>
          </cell>
          <cell r="AN186">
            <v>9866.7250000000004</v>
          </cell>
          <cell r="AO186">
            <v>9907.8310000000001</v>
          </cell>
          <cell r="AP186">
            <v>9945.5759999999991</v>
          </cell>
          <cell r="AQ186">
            <v>9979.7549999999992</v>
          </cell>
          <cell r="AR186">
            <v>10017.036</v>
          </cell>
          <cell r="AS186">
            <v>10065.859</v>
          </cell>
          <cell r="AT186">
            <v>10131.736999999999</v>
          </cell>
          <cell r="AU186">
            <v>10217.781999999999</v>
          </cell>
          <cell r="AV186">
            <v>10321.044</v>
          </cell>
          <cell r="AW186">
            <v>10433.351000000001</v>
          </cell>
          <cell r="AX186">
            <v>10542.97</v>
          </cell>
          <cell r="AY186">
            <v>10641.169</v>
          </cell>
          <cell r="AZ186">
            <v>10725.634</v>
          </cell>
          <cell r="BA186">
            <v>10798.19</v>
          </cell>
          <cell r="BB186">
            <v>10859.311</v>
          </cell>
          <cell r="BC186">
            <v>10910.741</v>
          </cell>
          <cell r="BD186">
            <v>10954.031999999999</v>
          </cell>
          <cell r="BE186">
            <v>10987.715</v>
          </cell>
          <cell r="BF186">
            <v>11011.49</v>
          </cell>
          <cell r="BG186">
            <v>11029.587</v>
          </cell>
          <cell r="BH186">
            <v>11047.739</v>
          </cell>
          <cell r="BI186">
            <v>11069.662</v>
          </cell>
          <cell r="BJ186">
            <v>11098.212</v>
          </cell>
          <cell r="BK186">
            <v>11131.302</v>
          </cell>
          <cell r="BL186">
            <v>11161.754999999999</v>
          </cell>
          <cell r="BM186">
            <v>11179.424999999999</v>
          </cell>
          <cell r="BN186">
            <v>11177.509</v>
          </cell>
          <cell r="BO186">
            <v>11153.047</v>
          </cell>
          <cell r="BP186">
            <v>11109.662</v>
          </cell>
          <cell r="BQ186">
            <v>11055.164000000001</v>
          </cell>
          <cell r="BR186">
            <v>11000.777</v>
          </cell>
          <cell r="BS186">
            <v>10954.617</v>
          </cell>
        </row>
        <row r="187">
          <cell r="E187">
            <v>336</v>
          </cell>
          <cell r="F187">
            <v>0.90500000000000003</v>
          </cell>
          <cell r="G187">
            <v>0.88700000000000001</v>
          </cell>
          <cell r="H187">
            <v>0.88400000000000001</v>
          </cell>
          <cell r="I187">
            <v>0.88900000000000001</v>
          </cell>
          <cell r="J187">
            <v>0.89700000000000002</v>
          </cell>
          <cell r="K187">
            <v>0.90500000000000003</v>
          </cell>
          <cell r="L187">
            <v>0.91</v>
          </cell>
          <cell r="M187">
            <v>0.91200000000000003</v>
          </cell>
          <cell r="N187">
            <v>0.91100000000000003</v>
          </cell>
          <cell r="O187">
            <v>0.90800000000000003</v>
          </cell>
          <cell r="P187">
            <v>0.90600000000000003</v>
          </cell>
          <cell r="Q187">
            <v>0.90400000000000003</v>
          </cell>
          <cell r="R187">
            <v>0.90100000000000002</v>
          </cell>
          <cell r="S187">
            <v>0.89600000000000002</v>
          </cell>
          <cell r="T187">
            <v>0.88100000000000001</v>
          </cell>
          <cell r="U187">
            <v>0.85499999999999998</v>
          </cell>
          <cell r="V187">
            <v>0.81699999999999995</v>
          </cell>
          <cell r="W187">
            <v>0.76700000000000002</v>
          </cell>
          <cell r="X187">
            <v>0.71499999999999997</v>
          </cell>
          <cell r="Y187">
            <v>0.67200000000000004</v>
          </cell>
          <cell r="Z187">
            <v>0.64800000000000002</v>
          </cell>
          <cell r="AA187">
            <v>0.64400000000000002</v>
          </cell>
          <cell r="AB187">
            <v>0.66</v>
          </cell>
          <cell r="AC187">
            <v>0.68500000000000005</v>
          </cell>
          <cell r="AD187">
            <v>0.71099999999999997</v>
          </cell>
          <cell r="AE187">
            <v>0.72899999999999998</v>
          </cell>
          <cell r="AF187">
            <v>0.73699999999999999</v>
          </cell>
          <cell r="AG187">
            <v>0.73699999999999999</v>
          </cell>
          <cell r="AH187">
            <v>0.73299999999999998</v>
          </cell>
          <cell r="AI187">
            <v>0.72799999999999998</v>
          </cell>
          <cell r="AJ187">
            <v>0.72599999999999998</v>
          </cell>
          <cell r="AK187">
            <v>0.72799999999999998</v>
          </cell>
          <cell r="AL187">
            <v>0.73099999999999998</v>
          </cell>
          <cell r="AM187">
            <v>0.73599999999999999</v>
          </cell>
          <cell r="AN187">
            <v>0.74199999999999999</v>
          </cell>
          <cell r="AO187">
            <v>0.747</v>
          </cell>
          <cell r="AP187">
            <v>0.752</v>
          </cell>
          <cell r="AQ187">
            <v>0.75700000000000001</v>
          </cell>
          <cell r="AR187">
            <v>0.76200000000000001</v>
          </cell>
          <cell r="AS187">
            <v>0.76600000000000001</v>
          </cell>
          <cell r="AT187">
            <v>0.77</v>
          </cell>
          <cell r="AU187">
            <v>0.77300000000000002</v>
          </cell>
          <cell r="AV187">
            <v>0.77500000000000002</v>
          </cell>
          <cell r="AW187">
            <v>0.77800000000000002</v>
          </cell>
          <cell r="AX187">
            <v>0.78</v>
          </cell>
          <cell r="AY187">
            <v>0.78100000000000003</v>
          </cell>
          <cell r="AZ187">
            <v>0.78200000000000003</v>
          </cell>
          <cell r="BA187">
            <v>0.78300000000000003</v>
          </cell>
          <cell r="BB187">
            <v>0.78500000000000003</v>
          </cell>
          <cell r="BC187">
            <v>0.78600000000000003</v>
          </cell>
          <cell r="BD187">
            <v>0.78700000000000003</v>
          </cell>
          <cell r="BE187">
            <v>0.78900000000000003</v>
          </cell>
          <cell r="BF187">
            <v>0.79200000000000004</v>
          </cell>
          <cell r="BG187">
            <v>0.79400000000000004</v>
          </cell>
          <cell r="BH187">
            <v>0.79600000000000004</v>
          </cell>
          <cell r="BI187">
            <v>0.79800000000000004</v>
          </cell>
          <cell r="BJ187">
            <v>0.79900000000000004</v>
          </cell>
          <cell r="BK187">
            <v>0.79900000000000004</v>
          </cell>
          <cell r="BL187">
            <v>0.79900000000000004</v>
          </cell>
          <cell r="BM187">
            <v>0.79900000000000004</v>
          </cell>
          <cell r="BN187">
            <v>0.79900000000000004</v>
          </cell>
          <cell r="BO187">
            <v>0.79900000000000004</v>
          </cell>
          <cell r="BP187">
            <v>0.79900000000000004</v>
          </cell>
          <cell r="BQ187">
            <v>0.79900000000000004</v>
          </cell>
          <cell r="BR187">
            <v>0.79900000000000004</v>
          </cell>
          <cell r="BS187">
            <v>0.8</v>
          </cell>
        </row>
        <row r="188">
          <cell r="E188">
            <v>380</v>
          </cell>
          <cell r="F188">
            <v>46598.601999999999</v>
          </cell>
          <cell r="G188">
            <v>47014.137000000002</v>
          </cell>
          <cell r="H188">
            <v>47398.599000000002</v>
          </cell>
          <cell r="I188">
            <v>47748.688999999998</v>
          </cell>
          <cell r="J188">
            <v>48064.766000000003</v>
          </cell>
          <cell r="K188">
            <v>48350.847000000002</v>
          </cell>
          <cell r="L188">
            <v>48614.864999999998</v>
          </cell>
          <cell r="M188">
            <v>48868.411999999997</v>
          </cell>
          <cell r="N188">
            <v>49125.959000000003</v>
          </cell>
          <cell r="O188">
            <v>49403.557999999997</v>
          </cell>
          <cell r="P188">
            <v>49714.962</v>
          </cell>
          <cell r="Q188">
            <v>50067.464</v>
          </cell>
          <cell r="R188">
            <v>50458.277000000002</v>
          </cell>
          <cell r="S188">
            <v>50872.976000000002</v>
          </cell>
          <cell r="T188">
            <v>51289.904000000002</v>
          </cell>
          <cell r="U188">
            <v>51693.135999999999</v>
          </cell>
          <cell r="V188">
            <v>52076.758000000002</v>
          </cell>
          <cell r="W188">
            <v>52444.750999999997</v>
          </cell>
          <cell r="X188">
            <v>52802.703000000001</v>
          </cell>
          <cell r="Y188">
            <v>53160.055999999997</v>
          </cell>
          <cell r="Z188">
            <v>53522.67</v>
          </cell>
          <cell r="AA188">
            <v>53891.946000000004</v>
          </cell>
          <cell r="AB188">
            <v>54262.086000000003</v>
          </cell>
          <cell r="AC188">
            <v>54623.207000000002</v>
          </cell>
          <cell r="AD188">
            <v>54961.925999999999</v>
          </cell>
          <cell r="AE188">
            <v>55268.548999999999</v>
          </cell>
          <cell r="AF188">
            <v>55539.118000000002</v>
          </cell>
          <cell r="AG188">
            <v>55775.934000000001</v>
          </cell>
          <cell r="AH188">
            <v>55983.298000000003</v>
          </cell>
          <cell r="AI188">
            <v>56168.375999999997</v>
          </cell>
          <cell r="AJ188">
            <v>56336.446000000004</v>
          </cell>
          <cell r="AK188">
            <v>56489.623</v>
          </cell>
          <cell r="AL188">
            <v>56626.402999999998</v>
          </cell>
          <cell r="AM188">
            <v>56744.4</v>
          </cell>
          <cell r="AN188">
            <v>56839.858999999997</v>
          </cell>
          <cell r="AO188">
            <v>56910.887999999999</v>
          </cell>
          <cell r="AP188">
            <v>56956.635000000002</v>
          </cell>
          <cell r="AQ188">
            <v>56980.620999999999</v>
          </cell>
          <cell r="AR188">
            <v>56990.644999999997</v>
          </cell>
          <cell r="AS188">
            <v>56997.093000000001</v>
          </cell>
          <cell r="AT188">
            <v>57007.576999999997</v>
          </cell>
          <cell r="AU188">
            <v>57029.614000000001</v>
          </cell>
          <cell r="AV188">
            <v>57062.76</v>
          </cell>
          <cell r="AW188">
            <v>57097.411</v>
          </cell>
          <cell r="AX188">
            <v>57119.163</v>
          </cell>
          <cell r="AY188">
            <v>57120.135999999999</v>
          </cell>
          <cell r="AZ188">
            <v>57091.906000000003</v>
          </cell>
          <cell r="BA188">
            <v>57044.614000000001</v>
          </cell>
          <cell r="BB188">
            <v>57010.94</v>
          </cell>
          <cell r="BC188">
            <v>57035.249000000003</v>
          </cell>
          <cell r="BD188">
            <v>57147.080999999998</v>
          </cell>
          <cell r="BE188">
            <v>57359.178999999996</v>
          </cell>
          <cell r="BF188">
            <v>57655.677000000003</v>
          </cell>
          <cell r="BG188">
            <v>58002.002999999997</v>
          </cell>
          <cell r="BH188">
            <v>58348.332000000002</v>
          </cell>
          <cell r="BI188">
            <v>58657.355000000003</v>
          </cell>
          <cell r="BJ188">
            <v>58918.470999999998</v>
          </cell>
          <cell r="BK188">
            <v>59138.599000000002</v>
          </cell>
          <cell r="BL188">
            <v>59319.233999999997</v>
          </cell>
          <cell r="BM188">
            <v>59467.196000000004</v>
          </cell>
          <cell r="BN188">
            <v>59588.006999999998</v>
          </cell>
          <cell r="BO188">
            <v>59678.993000000002</v>
          </cell>
          <cell r="BP188">
            <v>59737.716999999997</v>
          </cell>
          <cell r="BQ188">
            <v>59771.093999999997</v>
          </cell>
          <cell r="BR188">
            <v>59788.667000000001</v>
          </cell>
          <cell r="BS188">
            <v>59797.684999999998</v>
          </cell>
        </row>
        <row r="189">
          <cell r="E189">
            <v>470</v>
          </cell>
          <cell r="F189">
            <v>311.99700000000001</v>
          </cell>
          <cell r="G189">
            <v>312.72500000000002</v>
          </cell>
          <cell r="H189">
            <v>313.19200000000001</v>
          </cell>
          <cell r="I189">
            <v>313.505</v>
          </cell>
          <cell r="J189">
            <v>313.73500000000001</v>
          </cell>
          <cell r="K189">
            <v>313.91399999999999</v>
          </cell>
          <cell r="L189">
            <v>314.03699999999998</v>
          </cell>
          <cell r="M189">
            <v>314.06299999999999</v>
          </cell>
          <cell r="N189">
            <v>313.92</v>
          </cell>
          <cell r="O189">
            <v>313.52</v>
          </cell>
          <cell r="P189">
            <v>312.78800000000001</v>
          </cell>
          <cell r="Q189">
            <v>311.702</v>
          </cell>
          <cell r="R189">
            <v>310.32499999999999</v>
          </cell>
          <cell r="S189">
            <v>308.815</v>
          </cell>
          <cell r="T189">
            <v>307.38900000000001</v>
          </cell>
          <cell r="U189">
            <v>306.21199999999999</v>
          </cell>
          <cell r="V189">
            <v>305.35700000000003</v>
          </cell>
          <cell r="W189">
            <v>304.80500000000001</v>
          </cell>
          <cell r="X189">
            <v>304.51400000000001</v>
          </cell>
          <cell r="Y189">
            <v>304.40100000000001</v>
          </cell>
          <cell r="Z189">
            <v>304.41399999999999</v>
          </cell>
          <cell r="AA189">
            <v>304.54599999999999</v>
          </cell>
          <cell r="AB189">
            <v>304.85000000000002</v>
          </cell>
          <cell r="AC189">
            <v>305.39800000000002</v>
          </cell>
          <cell r="AD189">
            <v>306.291</v>
          </cell>
          <cell r="AE189">
            <v>307.59699999999998</v>
          </cell>
          <cell r="AF189">
            <v>309.32799999999997</v>
          </cell>
          <cell r="AG189">
            <v>311.45499999999998</v>
          </cell>
          <cell r="AH189">
            <v>313.95299999999997</v>
          </cell>
          <cell r="AI189">
            <v>316.78100000000001</v>
          </cell>
          <cell r="AJ189">
            <v>319.89800000000002</v>
          </cell>
          <cell r="AK189">
            <v>323.298</v>
          </cell>
          <cell r="AL189">
            <v>326.95299999999997</v>
          </cell>
          <cell r="AM189">
            <v>330.76100000000002</v>
          </cell>
          <cell r="AN189">
            <v>334.59199999999998</v>
          </cell>
          <cell r="AO189">
            <v>338.34800000000001</v>
          </cell>
          <cell r="AP189">
            <v>341.97800000000001</v>
          </cell>
          <cell r="AQ189">
            <v>345.49</v>
          </cell>
          <cell r="AR189">
            <v>348.91199999999998</v>
          </cell>
          <cell r="AS189">
            <v>352.30399999999997</v>
          </cell>
          <cell r="AT189">
            <v>355.70699999999999</v>
          </cell>
          <cell r="AU189">
            <v>359.113</v>
          </cell>
          <cell r="AV189">
            <v>362.49200000000002</v>
          </cell>
          <cell r="AW189">
            <v>365.83800000000002</v>
          </cell>
          <cell r="AX189">
            <v>369.142</v>
          </cell>
          <cell r="AY189">
            <v>372.39100000000002</v>
          </cell>
          <cell r="AZ189">
            <v>375.61</v>
          </cell>
          <cell r="BA189">
            <v>378.78899999999999</v>
          </cell>
          <cell r="BB189">
            <v>381.84399999999999</v>
          </cell>
          <cell r="BC189">
            <v>384.66300000000001</v>
          </cell>
          <cell r="BD189">
            <v>387.18</v>
          </cell>
          <cell r="BE189">
            <v>389.32299999999998</v>
          </cell>
          <cell r="BF189">
            <v>391.14800000000002</v>
          </cell>
          <cell r="BG189">
            <v>392.87</v>
          </cell>
          <cell r="BH189">
            <v>394.786</v>
          </cell>
          <cell r="BI189">
            <v>397.09399999999999</v>
          </cell>
          <cell r="BJ189">
            <v>399.892</v>
          </cell>
          <cell r="BK189">
            <v>403.07600000000002</v>
          </cell>
          <cell r="BL189">
            <v>406.392</v>
          </cell>
          <cell r="BM189">
            <v>409.47500000000002</v>
          </cell>
          <cell r="BN189">
            <v>412.06400000000002</v>
          </cell>
          <cell r="BO189">
            <v>414.07499999999999</v>
          </cell>
          <cell r="BP189">
            <v>415.596</v>
          </cell>
          <cell r="BQ189">
            <v>416.74700000000001</v>
          </cell>
          <cell r="BR189">
            <v>417.72300000000001</v>
          </cell>
          <cell r="BS189">
            <v>418.67</v>
          </cell>
        </row>
        <row r="190">
          <cell r="E190">
            <v>499</v>
          </cell>
          <cell r="F190">
            <v>394.738</v>
          </cell>
          <cell r="G190">
            <v>400.87599999999998</v>
          </cell>
          <cell r="H190">
            <v>410.51100000000002</v>
          </cell>
          <cell r="I190">
            <v>421.73500000000001</v>
          </cell>
          <cell r="J190">
            <v>433.13499999999999</v>
          </cell>
          <cell r="K190">
            <v>443.79599999999999</v>
          </cell>
          <cell r="L190">
            <v>453.322</v>
          </cell>
          <cell r="M190">
            <v>461.81099999999998</v>
          </cell>
          <cell r="N190">
            <v>469.786</v>
          </cell>
          <cell r="O190">
            <v>478.06900000000002</v>
          </cell>
          <cell r="P190">
            <v>487.416</v>
          </cell>
          <cell r="Q190">
            <v>498.12799999999999</v>
          </cell>
          <cell r="R190">
            <v>509.70800000000003</v>
          </cell>
          <cell r="S190">
            <v>520.71400000000006</v>
          </cell>
          <cell r="T190">
            <v>529.17600000000004</v>
          </cell>
          <cell r="U190">
            <v>533.81500000000005</v>
          </cell>
          <cell r="V190">
            <v>533.90899999999999</v>
          </cell>
          <cell r="W190">
            <v>530.23400000000004</v>
          </cell>
          <cell r="X190">
            <v>524.84400000000005</v>
          </cell>
          <cell r="Y190">
            <v>520.64400000000001</v>
          </cell>
          <cell r="Z190">
            <v>519.697</v>
          </cell>
          <cell r="AA190">
            <v>522.78300000000002</v>
          </cell>
          <cell r="AB190">
            <v>529.20899999999995</v>
          </cell>
          <cell r="AC190">
            <v>537.76400000000001</v>
          </cell>
          <cell r="AD190">
            <v>546.56899999999996</v>
          </cell>
          <cell r="AE190">
            <v>554.26199999999994</v>
          </cell>
          <cell r="AF190">
            <v>560.42399999999998</v>
          </cell>
          <cell r="AG190">
            <v>565.50900000000001</v>
          </cell>
          <cell r="AH190">
            <v>570.06200000000001</v>
          </cell>
          <cell r="AI190">
            <v>574.95299999999997</v>
          </cell>
          <cell r="AJ190">
            <v>580.755</v>
          </cell>
          <cell r="AK190">
            <v>587.68899999999996</v>
          </cell>
          <cell r="AL190">
            <v>595.35299999999995</v>
          </cell>
          <cell r="AM190">
            <v>602.96400000000006</v>
          </cell>
          <cell r="AN190">
            <v>609.43299999999999</v>
          </cell>
          <cell r="AO190">
            <v>614.01099999999997</v>
          </cell>
          <cell r="AP190">
            <v>616.35699999999997</v>
          </cell>
          <cell r="AQ190">
            <v>616.79600000000005</v>
          </cell>
          <cell r="AR190">
            <v>616.05499999999995</v>
          </cell>
          <cell r="AS190">
            <v>615.20100000000002</v>
          </cell>
          <cell r="AT190">
            <v>614.99900000000002</v>
          </cell>
          <cell r="AU190">
            <v>615.74300000000005</v>
          </cell>
          <cell r="AV190">
            <v>617.17399999999998</v>
          </cell>
          <cell r="AW190">
            <v>618.851</v>
          </cell>
          <cell r="AX190">
            <v>620.08799999999997</v>
          </cell>
          <cell r="AY190">
            <v>620.41499999999996</v>
          </cell>
          <cell r="AZ190">
            <v>619.69600000000003</v>
          </cell>
          <cell r="BA190">
            <v>618.19200000000001</v>
          </cell>
          <cell r="BB190">
            <v>616.30799999999999</v>
          </cell>
          <cell r="BC190">
            <v>614.62300000000005</v>
          </cell>
          <cell r="BD190">
            <v>613.55700000000002</v>
          </cell>
          <cell r="BE190">
            <v>613.23900000000003</v>
          </cell>
          <cell r="BF190">
            <v>613.54300000000001</v>
          </cell>
          <cell r="BG190">
            <v>614.322</v>
          </cell>
          <cell r="BH190">
            <v>615.33199999999999</v>
          </cell>
          <cell r="BI190">
            <v>616.38900000000001</v>
          </cell>
          <cell r="BJ190">
            <v>617.46199999999999</v>
          </cell>
          <cell r="BK190">
            <v>618.59199999999998</v>
          </cell>
          <cell r="BL190">
            <v>619.74</v>
          </cell>
          <cell r="BM190">
            <v>620.87</v>
          </cell>
          <cell r="BN190">
            <v>621.952</v>
          </cell>
          <cell r="BO190">
            <v>622.95699999999999</v>
          </cell>
          <cell r="BP190">
            <v>623.86400000000003</v>
          </cell>
          <cell r="BQ190">
            <v>624.64800000000002</v>
          </cell>
          <cell r="BR190">
            <v>625.29200000000003</v>
          </cell>
          <cell r="BS190">
            <v>625.78099999999995</v>
          </cell>
        </row>
        <row r="191">
          <cell r="E191">
            <v>620</v>
          </cell>
          <cell r="F191">
            <v>8416.9689999999991</v>
          </cell>
          <cell r="G191">
            <v>8431.2070000000003</v>
          </cell>
          <cell r="H191">
            <v>8473.6280000000006</v>
          </cell>
          <cell r="I191">
            <v>8532.1929999999993</v>
          </cell>
          <cell r="J191">
            <v>8597.2250000000004</v>
          </cell>
          <cell r="K191">
            <v>8661.4179999999997</v>
          </cell>
          <cell r="L191">
            <v>8719.9140000000007</v>
          </cell>
          <cell r="M191">
            <v>8770.2209999999995</v>
          </cell>
          <cell r="N191">
            <v>8811.9590000000007</v>
          </cell>
          <cell r="O191">
            <v>8846.4249999999993</v>
          </cell>
          <cell r="P191">
            <v>8875.3109999999997</v>
          </cell>
          <cell r="Q191">
            <v>8899.3310000000001</v>
          </cell>
          <cell r="R191">
            <v>8917.02</v>
          </cell>
          <cell r="S191">
            <v>8924.2209999999995</v>
          </cell>
          <cell r="T191">
            <v>8915.5390000000007</v>
          </cell>
          <cell r="U191">
            <v>8888.6350000000002</v>
          </cell>
          <cell r="V191">
            <v>8839.8310000000001</v>
          </cell>
          <cell r="W191">
            <v>8774.3909999999996</v>
          </cell>
          <cell r="X191">
            <v>8709.8050000000003</v>
          </cell>
          <cell r="Y191">
            <v>8669.6409999999996</v>
          </cell>
          <cell r="Z191">
            <v>8670.3520000000008</v>
          </cell>
          <cell r="AA191">
            <v>8717.8709999999992</v>
          </cell>
          <cell r="AB191">
            <v>8806.0159999999996</v>
          </cell>
          <cell r="AC191">
            <v>8923.9279999999999</v>
          </cell>
          <cell r="AD191">
            <v>9054.9240000000009</v>
          </cell>
          <cell r="AE191">
            <v>9185.8760000000002</v>
          </cell>
          <cell r="AF191">
            <v>9314.3009999999995</v>
          </cell>
          <cell r="AG191">
            <v>9441.1669999999995</v>
          </cell>
          <cell r="AH191">
            <v>9560.7530000000006</v>
          </cell>
          <cell r="AI191">
            <v>9667.0210000000006</v>
          </cell>
          <cell r="AJ191">
            <v>9755.6350000000002</v>
          </cell>
          <cell r="AK191">
            <v>9824.2389999999996</v>
          </cell>
          <cell r="AL191">
            <v>9873.1440000000002</v>
          </cell>
          <cell r="AM191">
            <v>9904.4439999999995</v>
          </cell>
          <cell r="AN191">
            <v>9921.8950000000004</v>
          </cell>
          <cell r="AO191">
            <v>9929.0139999999992</v>
          </cell>
          <cell r="AP191">
            <v>9925.41</v>
          </cell>
          <cell r="AQ191">
            <v>9912.2080000000005</v>
          </cell>
          <cell r="AR191">
            <v>9896.4159999999993</v>
          </cell>
          <cell r="AS191">
            <v>9886.9969999999994</v>
          </cell>
          <cell r="AT191">
            <v>9890.3189999999995</v>
          </cell>
          <cell r="AU191">
            <v>9909.5740000000005</v>
          </cell>
          <cell r="AV191">
            <v>9943.1970000000001</v>
          </cell>
          <cell r="AW191">
            <v>9986.8279999999995</v>
          </cell>
          <cell r="AX191">
            <v>10033.6</v>
          </cell>
          <cell r="AY191">
            <v>10078.431</v>
          </cell>
          <cell r="AZ191">
            <v>10119.985000000001</v>
          </cell>
          <cell r="BA191">
            <v>10159.662</v>
          </cell>
          <cell r="BB191">
            <v>10198.31</v>
          </cell>
          <cell r="BC191">
            <v>10237.593000000001</v>
          </cell>
          <cell r="BD191">
            <v>10278.541999999999</v>
          </cell>
          <cell r="BE191">
            <v>10320.463</v>
          </cell>
          <cell r="BF191">
            <v>10362.028</v>
          </cell>
          <cell r="BG191">
            <v>10402.835999999999</v>
          </cell>
          <cell r="BH191">
            <v>10442.446</v>
          </cell>
          <cell r="BI191">
            <v>10480.084999999999</v>
          </cell>
          <cell r="BJ191">
            <v>10516.558999999999</v>
          </cell>
          <cell r="BK191">
            <v>10550.695</v>
          </cell>
          <cell r="BL191">
            <v>10577.458000000001</v>
          </cell>
          <cell r="BM191">
            <v>10590.26</v>
          </cell>
          <cell r="BN191">
            <v>10584.837</v>
          </cell>
          <cell r="BO191">
            <v>10558.909</v>
          </cell>
          <cell r="BP191">
            <v>10515.016</v>
          </cell>
          <cell r="BQ191">
            <v>10459.716</v>
          </cell>
          <cell r="BR191">
            <v>10402.343000000001</v>
          </cell>
          <cell r="BS191">
            <v>10349.803</v>
          </cell>
        </row>
        <row r="192">
          <cell r="E192">
            <v>674</v>
          </cell>
          <cell r="F192">
            <v>12.781000000000001</v>
          </cell>
          <cell r="G192">
            <v>12.917999999999999</v>
          </cell>
          <cell r="H192">
            <v>13.087999999999999</v>
          </cell>
          <cell r="I192">
            <v>13.288</v>
          </cell>
          <cell r="J192">
            <v>13.515000000000001</v>
          </cell>
          <cell r="K192">
            <v>13.766999999999999</v>
          </cell>
          <cell r="L192">
            <v>14.044</v>
          </cell>
          <cell r="M192">
            <v>14.345000000000001</v>
          </cell>
          <cell r="N192">
            <v>14.67</v>
          </cell>
          <cell r="O192">
            <v>15.02</v>
          </cell>
          <cell r="P192">
            <v>15.393000000000001</v>
          </cell>
          <cell r="Q192">
            <v>15.787000000000001</v>
          </cell>
          <cell r="R192">
            <v>16.196999999999999</v>
          </cell>
          <cell r="S192">
            <v>16.616</v>
          </cell>
          <cell r="T192">
            <v>17.033000000000001</v>
          </cell>
          <cell r="U192">
            <v>17.440000000000001</v>
          </cell>
          <cell r="V192">
            <v>17.838999999999999</v>
          </cell>
          <cell r="W192">
            <v>18.228000000000002</v>
          </cell>
          <cell r="X192">
            <v>18.587</v>
          </cell>
          <cell r="Y192">
            <v>18.895</v>
          </cell>
          <cell r="Z192">
            <v>19.135999999999999</v>
          </cell>
          <cell r="AA192">
            <v>19.298999999999999</v>
          </cell>
          <cell r="AB192">
            <v>19.396000000000001</v>
          </cell>
          <cell r="AC192">
            <v>19.466999999999999</v>
          </cell>
          <cell r="AD192">
            <v>19.565000000000001</v>
          </cell>
          <cell r="AE192">
            <v>19.731999999999999</v>
          </cell>
          <cell r="AF192">
            <v>19.981000000000002</v>
          </cell>
          <cell r="AG192">
            <v>20.300999999999998</v>
          </cell>
          <cell r="AH192">
            <v>20.663</v>
          </cell>
          <cell r="AI192">
            <v>21.026</v>
          </cell>
          <cell r="AJ192">
            <v>21.363</v>
          </cell>
          <cell r="AK192">
            <v>21.666</v>
          </cell>
          <cell r="AL192">
            <v>21.943999999999999</v>
          </cell>
          <cell r="AM192">
            <v>22.202999999999999</v>
          </cell>
          <cell r="AN192">
            <v>22.454999999999998</v>
          </cell>
          <cell r="AO192">
            <v>22.707999999999998</v>
          </cell>
          <cell r="AP192">
            <v>22.959</v>
          </cell>
          <cell r="AQ192">
            <v>23.207999999999998</v>
          </cell>
          <cell r="AR192">
            <v>23.463000000000001</v>
          </cell>
          <cell r="AS192">
            <v>23.74</v>
          </cell>
          <cell r="AT192">
            <v>24.045000000000002</v>
          </cell>
          <cell r="AU192">
            <v>24.385000000000002</v>
          </cell>
          <cell r="AV192">
            <v>24.754999999999999</v>
          </cell>
          <cell r="AW192">
            <v>25.140999999999998</v>
          </cell>
          <cell r="AX192">
            <v>25.518999999999998</v>
          </cell>
          <cell r="AY192">
            <v>25.875</v>
          </cell>
          <cell r="AZ192">
            <v>26.201000000000001</v>
          </cell>
          <cell r="BA192">
            <v>26.503</v>
          </cell>
          <cell r="BB192">
            <v>26.795000000000002</v>
          </cell>
          <cell r="BC192">
            <v>27.097000000000001</v>
          </cell>
          <cell r="BD192">
            <v>27.42</v>
          </cell>
          <cell r="BE192">
            <v>27.771000000000001</v>
          </cell>
          <cell r="BF192">
            <v>28.141999999999999</v>
          </cell>
          <cell r="BG192">
            <v>28.52</v>
          </cell>
          <cell r="BH192">
            <v>28.890999999999998</v>
          </cell>
          <cell r="BI192">
            <v>29.242000000000001</v>
          </cell>
          <cell r="BJ192">
            <v>29.568000000000001</v>
          </cell>
          <cell r="BK192">
            <v>29.873999999999999</v>
          </cell>
          <cell r="BL192">
            <v>30.16</v>
          </cell>
          <cell r="BM192">
            <v>30.431000000000001</v>
          </cell>
          <cell r="BN192">
            <v>30.69</v>
          </cell>
          <cell r="BO192">
            <v>30.937999999999999</v>
          </cell>
          <cell r="BP192">
            <v>31.172000000000001</v>
          </cell>
          <cell r="BQ192">
            <v>31.390999999999998</v>
          </cell>
          <cell r="BR192">
            <v>31.594999999999999</v>
          </cell>
          <cell r="BS192">
            <v>31.780999999999999</v>
          </cell>
        </row>
        <row r="193">
          <cell r="E193">
            <v>688</v>
          </cell>
          <cell r="F193">
            <v>6732.2560000000003</v>
          </cell>
          <cell r="G193">
            <v>6853.2889999999998</v>
          </cell>
          <cell r="H193">
            <v>6963.3959999999997</v>
          </cell>
          <cell r="I193">
            <v>7063.1689999999999</v>
          </cell>
          <cell r="J193">
            <v>7153.366</v>
          </cell>
          <cell r="K193">
            <v>7234.9160000000002</v>
          </cell>
          <cell r="L193">
            <v>7308.9309999999996</v>
          </cell>
          <cell r="M193">
            <v>7376.692</v>
          </cell>
          <cell r="N193">
            <v>7439.6090000000004</v>
          </cell>
          <cell r="O193">
            <v>7499.1660000000002</v>
          </cell>
          <cell r="P193">
            <v>7556.73</v>
          </cell>
          <cell r="Q193">
            <v>7613.3559999999998</v>
          </cell>
          <cell r="R193">
            <v>7669.61</v>
          </cell>
          <cell r="S193">
            <v>7725.5010000000002</v>
          </cell>
          <cell r="T193">
            <v>7780.683</v>
          </cell>
          <cell r="U193">
            <v>7835.0839999999998</v>
          </cell>
          <cell r="V193">
            <v>7888.8019999999997</v>
          </cell>
          <cell r="W193">
            <v>7942.6379999999999</v>
          </cell>
          <cell r="X193">
            <v>7998</v>
          </cell>
          <cell r="Y193">
            <v>8056.6629999999996</v>
          </cell>
          <cell r="Z193">
            <v>8119.8609999999999</v>
          </cell>
          <cell r="AA193">
            <v>8187.9939999999997</v>
          </cell>
          <cell r="AB193">
            <v>8260.6260000000002</v>
          </cell>
          <cell r="AC193">
            <v>8337.0759999999991</v>
          </cell>
          <cell r="AD193">
            <v>8416.25</v>
          </cell>
          <cell r="AE193">
            <v>8497.1679999999997</v>
          </cell>
          <cell r="AF193">
            <v>8579.6309999999994</v>
          </cell>
          <cell r="AG193">
            <v>8663.3269999999993</v>
          </cell>
          <cell r="AH193">
            <v>8746.982</v>
          </cell>
          <cell r="AI193">
            <v>8829.0380000000005</v>
          </cell>
          <cell r="AJ193">
            <v>8908.2929999999997</v>
          </cell>
          <cell r="AK193">
            <v>8984.5990000000002</v>
          </cell>
          <cell r="AL193">
            <v>9057.9740000000002</v>
          </cell>
          <cell r="AM193">
            <v>9127.6790000000001</v>
          </cell>
          <cell r="AN193">
            <v>9192.9169999999995</v>
          </cell>
          <cell r="AO193">
            <v>9253.4009999999998</v>
          </cell>
          <cell r="AP193">
            <v>9306.2829999999994</v>
          </cell>
          <cell r="AQ193">
            <v>9351.9380000000001</v>
          </cell>
          <cell r="AR193">
            <v>9396.9750000000004</v>
          </cell>
          <cell r="AS193">
            <v>9450.482</v>
          </cell>
          <cell r="AT193">
            <v>9517.67</v>
          </cell>
          <cell r="AU193">
            <v>9603.6209999999992</v>
          </cell>
          <cell r="AV193">
            <v>9702.9580000000005</v>
          </cell>
          <cell r="AW193">
            <v>9797.8379999999997</v>
          </cell>
          <cell r="AX193">
            <v>9863.7810000000009</v>
          </cell>
          <cell r="AY193">
            <v>9884.1460000000006</v>
          </cell>
          <cell r="AZ193">
            <v>9851.9580000000005</v>
          </cell>
          <cell r="BA193">
            <v>9775.0079999999998</v>
          </cell>
          <cell r="BB193">
            <v>9669.6479999999992</v>
          </cell>
          <cell r="BC193">
            <v>9559.8189999999995</v>
          </cell>
          <cell r="BD193">
            <v>9463.3060000000005</v>
          </cell>
          <cell r="BE193">
            <v>9384.8160000000007</v>
          </cell>
          <cell r="BF193">
            <v>9320.35</v>
          </cell>
          <cell r="BG193">
            <v>9268.4509999999991</v>
          </cell>
          <cell r="BH193">
            <v>9225.0010000000002</v>
          </cell>
          <cell r="BI193">
            <v>9186.6849999999995</v>
          </cell>
          <cell r="BJ193">
            <v>9154.76</v>
          </cell>
          <cell r="BK193">
            <v>9130.3529999999992</v>
          </cell>
          <cell r="BL193">
            <v>9109.5349999999999</v>
          </cell>
          <cell r="BM193">
            <v>9087.0190000000002</v>
          </cell>
          <cell r="BN193">
            <v>9059.0460000000003</v>
          </cell>
          <cell r="BO193">
            <v>9023.8809999999994</v>
          </cell>
          <cell r="BP193">
            <v>8982.5779999999995</v>
          </cell>
          <cell r="BQ193">
            <v>8937.6049999999996</v>
          </cell>
          <cell r="BR193">
            <v>8892.8150000000005</v>
          </cell>
          <cell r="BS193">
            <v>8850.9750000000004</v>
          </cell>
        </row>
        <row r="194">
          <cell r="E194">
            <v>705</v>
          </cell>
          <cell r="F194">
            <v>1473.0940000000001</v>
          </cell>
          <cell r="G194">
            <v>1481.6369999999999</v>
          </cell>
          <cell r="H194">
            <v>1491.673</v>
          </cell>
          <cell r="I194">
            <v>1502.837</v>
          </cell>
          <cell r="J194">
            <v>1514.789</v>
          </cell>
          <cell r="K194">
            <v>1527.2049999999999</v>
          </cell>
          <cell r="L194">
            <v>1539.7860000000001</v>
          </cell>
          <cell r="M194">
            <v>1552.2550000000001</v>
          </cell>
          <cell r="N194">
            <v>1564.356</v>
          </cell>
          <cell r="O194">
            <v>1575.8710000000001</v>
          </cell>
          <cell r="P194">
            <v>1586.6320000000001</v>
          </cell>
          <cell r="Q194">
            <v>1596.5540000000001</v>
          </cell>
          <cell r="R194">
            <v>1605.645</v>
          </cell>
          <cell r="S194">
            <v>1614.0219999999999</v>
          </cell>
          <cell r="T194">
            <v>1621.883</v>
          </cell>
          <cell r="U194">
            <v>1629.434</v>
          </cell>
          <cell r="V194">
            <v>1636.66</v>
          </cell>
          <cell r="W194">
            <v>1643.6969999999999</v>
          </cell>
          <cell r="X194">
            <v>1651.0940000000001</v>
          </cell>
          <cell r="Y194">
            <v>1659.5530000000001</v>
          </cell>
          <cell r="Z194">
            <v>1669.5830000000001</v>
          </cell>
          <cell r="AA194">
            <v>1681.4259999999999</v>
          </cell>
          <cell r="AB194">
            <v>1694.979</v>
          </cell>
          <cell r="AC194">
            <v>1709.9739999999999</v>
          </cell>
          <cell r="AD194">
            <v>1725.9670000000001</v>
          </cell>
          <cell r="AE194">
            <v>1742.626</v>
          </cell>
          <cell r="AF194">
            <v>1759.7249999999999</v>
          </cell>
          <cell r="AG194">
            <v>1777.316</v>
          </cell>
          <cell r="AH194">
            <v>1795.6489999999999</v>
          </cell>
          <cell r="AI194">
            <v>1815.1010000000001</v>
          </cell>
          <cell r="AJ194">
            <v>1835.8389999999999</v>
          </cell>
          <cell r="AK194">
            <v>1857.854</v>
          </cell>
          <cell r="AL194">
            <v>1880.6990000000001</v>
          </cell>
          <cell r="AM194">
            <v>1903.548</v>
          </cell>
          <cell r="AN194">
            <v>1925.3150000000001</v>
          </cell>
          <cell r="AO194">
            <v>1945.136</v>
          </cell>
          <cell r="AP194">
            <v>1962.89</v>
          </cell>
          <cell r="AQ194">
            <v>1978.5409999999999</v>
          </cell>
          <cell r="AR194">
            <v>1991.454</v>
          </cell>
          <cell r="AS194">
            <v>2000.91</v>
          </cell>
          <cell r="AT194">
            <v>2006.52</v>
          </cell>
          <cell r="AU194">
            <v>2007.9179999999999</v>
          </cell>
          <cell r="AV194">
            <v>2005.5350000000001</v>
          </cell>
          <cell r="AW194">
            <v>2000.7829999999999</v>
          </cell>
          <cell r="AX194">
            <v>1995.615</v>
          </cell>
          <cell r="AY194">
            <v>1991.4870000000001</v>
          </cell>
          <cell r="AZ194">
            <v>1989.0419999999999</v>
          </cell>
          <cell r="BA194">
            <v>1988.077</v>
          </cell>
          <cell r="BB194">
            <v>1988.1659999999999</v>
          </cell>
          <cell r="BC194">
            <v>1988.527</v>
          </cell>
          <cell r="BD194">
            <v>1988.652</v>
          </cell>
          <cell r="BE194">
            <v>1988.287</v>
          </cell>
          <cell r="BF194">
            <v>1987.855</v>
          </cell>
          <cell r="BG194">
            <v>1988.3040000000001</v>
          </cell>
          <cell r="BH194">
            <v>1990.924</v>
          </cell>
          <cell r="BI194">
            <v>1996.5219999999999</v>
          </cell>
          <cell r="BJ194">
            <v>2005.566</v>
          </cell>
          <cell r="BK194">
            <v>2017.452</v>
          </cell>
          <cell r="BL194">
            <v>2030.5989999999999</v>
          </cell>
          <cell r="BM194">
            <v>2042.8040000000001</v>
          </cell>
          <cell r="BN194">
            <v>2052.48</v>
          </cell>
          <cell r="BO194">
            <v>2059.0230000000001</v>
          </cell>
          <cell r="BP194">
            <v>2062.8809999999999</v>
          </cell>
          <cell r="BQ194">
            <v>2064.819</v>
          </cell>
          <cell r="BR194">
            <v>2066.0680000000002</v>
          </cell>
          <cell r="BS194">
            <v>2067.5259999999998</v>
          </cell>
        </row>
        <row r="195">
          <cell r="E195">
            <v>724</v>
          </cell>
          <cell r="F195">
            <v>28069.737000000001</v>
          </cell>
          <cell r="G195">
            <v>28237.323</v>
          </cell>
          <cell r="H195">
            <v>28430.441999999999</v>
          </cell>
          <cell r="I195">
            <v>28641.79</v>
          </cell>
          <cell r="J195">
            <v>28866.15</v>
          </cell>
          <cell r="K195">
            <v>29100.396000000001</v>
          </cell>
          <cell r="L195">
            <v>29343.601999999999</v>
          </cell>
          <cell r="M195">
            <v>29596.934000000001</v>
          </cell>
          <cell r="N195">
            <v>29863.304</v>
          </cell>
          <cell r="O195">
            <v>30146.802</v>
          </cell>
          <cell r="P195">
            <v>30450.993999999999</v>
          </cell>
          <cell r="Q195">
            <v>30777.097000000002</v>
          </cell>
          <cell r="R195">
            <v>31122.39</v>
          </cell>
          <cell r="S195">
            <v>31479.528999999999</v>
          </cell>
          <cell r="T195">
            <v>31838.485000000001</v>
          </cell>
          <cell r="U195">
            <v>32192.223000000002</v>
          </cell>
          <cell r="V195">
            <v>32536.636999999999</v>
          </cell>
          <cell r="W195">
            <v>32873.962</v>
          </cell>
          <cell r="X195">
            <v>33211.167999999998</v>
          </cell>
          <cell r="Y195">
            <v>33558.627</v>
          </cell>
          <cell r="Z195">
            <v>33923.24</v>
          </cell>
          <cell r="AA195">
            <v>34305.591</v>
          </cell>
          <cell r="AB195">
            <v>34701.025000000001</v>
          </cell>
          <cell r="AC195">
            <v>35104.633000000002</v>
          </cell>
          <cell r="AD195">
            <v>35509.391000000003</v>
          </cell>
          <cell r="AE195">
            <v>35909.042000000001</v>
          </cell>
          <cell r="AF195">
            <v>36302.392</v>
          </cell>
          <cell r="AG195">
            <v>36687.351999999999</v>
          </cell>
          <cell r="AH195">
            <v>37055.64</v>
          </cell>
          <cell r="AI195">
            <v>37397.232000000004</v>
          </cell>
          <cell r="AJ195">
            <v>37704.866999999998</v>
          </cell>
          <cell r="AK195">
            <v>37976.188999999998</v>
          </cell>
          <cell r="AL195">
            <v>38212.555999999997</v>
          </cell>
          <cell r="AM195">
            <v>38415.495000000003</v>
          </cell>
          <cell r="AN195">
            <v>38588.237999999998</v>
          </cell>
          <cell r="AO195">
            <v>38734.33</v>
          </cell>
          <cell r="AP195">
            <v>38854.36</v>
          </cell>
          <cell r="AQ195">
            <v>38950.964999999997</v>
          </cell>
          <cell r="AR195">
            <v>39032.625</v>
          </cell>
          <cell r="AS195">
            <v>39110.106</v>
          </cell>
          <cell r="AT195">
            <v>39192.055</v>
          </cell>
          <cell r="AU195">
            <v>39287.042999999998</v>
          </cell>
          <cell r="AV195">
            <v>39397.402999999998</v>
          </cell>
          <cell r="AW195">
            <v>39518.427000000003</v>
          </cell>
          <cell r="AX195">
            <v>39641.74</v>
          </cell>
          <cell r="AY195">
            <v>39764.267</v>
          </cell>
          <cell r="AZ195">
            <v>39878.881000000001</v>
          </cell>
          <cell r="BA195">
            <v>39996.220999999998</v>
          </cell>
          <cell r="BB195">
            <v>40151.722999999998</v>
          </cell>
          <cell r="BC195">
            <v>40392.584999999999</v>
          </cell>
          <cell r="BD195">
            <v>40749.800000000003</v>
          </cell>
          <cell r="BE195">
            <v>41230.517999999996</v>
          </cell>
          <cell r="BF195">
            <v>41815.485999999997</v>
          </cell>
          <cell r="BG195">
            <v>42475.264999999999</v>
          </cell>
          <cell r="BH195">
            <v>43167.275999999998</v>
          </cell>
          <cell r="BI195">
            <v>43854.760999999999</v>
          </cell>
          <cell r="BJ195">
            <v>44537.925999999999</v>
          </cell>
          <cell r="BK195">
            <v>45209.538</v>
          </cell>
          <cell r="BL195">
            <v>45817.016000000003</v>
          </cell>
          <cell r="BM195">
            <v>46295.190999999999</v>
          </cell>
          <cell r="BN195">
            <v>46601.491999999998</v>
          </cell>
          <cell r="BO195">
            <v>46708.366000000002</v>
          </cell>
          <cell r="BP195">
            <v>46637.082000000002</v>
          </cell>
          <cell r="BQ195">
            <v>46455.163</v>
          </cell>
          <cell r="BR195">
            <v>46259.716</v>
          </cell>
          <cell r="BS195">
            <v>46121.699000000001</v>
          </cell>
        </row>
        <row r="196">
          <cell r="E196">
            <v>807</v>
          </cell>
          <cell r="F196">
            <v>1254.444</v>
          </cell>
          <cell r="G196">
            <v>1290.413</v>
          </cell>
          <cell r="H196">
            <v>1320.9839999999999</v>
          </cell>
          <cell r="I196">
            <v>1347.4649999999999</v>
          </cell>
          <cell r="J196">
            <v>1370.9780000000001</v>
          </cell>
          <cell r="K196">
            <v>1392.45</v>
          </cell>
          <cell r="L196">
            <v>1412.614</v>
          </cell>
          <cell r="M196">
            <v>1432.0139999999999</v>
          </cell>
          <cell r="N196">
            <v>1451.0170000000001</v>
          </cell>
          <cell r="O196">
            <v>1469.848</v>
          </cell>
          <cell r="P196">
            <v>1488.664</v>
          </cell>
          <cell r="Q196">
            <v>1507.653</v>
          </cell>
          <cell r="R196">
            <v>1527.105</v>
          </cell>
          <cell r="S196">
            <v>1547.4449999999999</v>
          </cell>
          <cell r="T196">
            <v>1569.143</v>
          </cell>
          <cell r="U196">
            <v>1592.434</v>
          </cell>
          <cell r="V196">
            <v>1617.797</v>
          </cell>
          <cell r="W196">
            <v>1644.944</v>
          </cell>
          <cell r="X196">
            <v>1672.4010000000001</v>
          </cell>
          <cell r="Y196">
            <v>1698.14</v>
          </cell>
          <cell r="Z196">
            <v>1720.798</v>
          </cell>
          <cell r="AA196">
            <v>1739.5250000000001</v>
          </cell>
          <cell r="AB196">
            <v>1754.954</v>
          </cell>
          <cell r="AC196">
            <v>1768.9960000000001</v>
          </cell>
          <cell r="AD196">
            <v>1784.395</v>
          </cell>
          <cell r="AE196">
            <v>1803.009</v>
          </cell>
          <cell r="AF196">
            <v>1825.5540000000001</v>
          </cell>
          <cell r="AG196">
            <v>1851.068</v>
          </cell>
          <cell r="AH196">
            <v>1877.6869999999999</v>
          </cell>
          <cell r="AI196">
            <v>1902.7180000000001</v>
          </cell>
          <cell r="AJ196">
            <v>1924.194</v>
          </cell>
          <cell r="AK196">
            <v>1941.4449999999999</v>
          </cell>
          <cell r="AL196">
            <v>1954.99</v>
          </cell>
          <cell r="AM196">
            <v>1965.4880000000001</v>
          </cell>
          <cell r="AN196">
            <v>1974.069</v>
          </cell>
          <cell r="AO196">
            <v>1981.5319999999999</v>
          </cell>
          <cell r="AP196">
            <v>1988.4010000000001</v>
          </cell>
          <cell r="AQ196">
            <v>1994.3679999999999</v>
          </cell>
          <cell r="AR196">
            <v>1998.471</v>
          </cell>
          <cell r="AS196">
            <v>1999.338</v>
          </cell>
          <cell r="AT196">
            <v>1996.2270000000001</v>
          </cell>
          <cell r="AU196">
            <v>1988.4580000000001</v>
          </cell>
          <cell r="AV196">
            <v>1977.0329999999999</v>
          </cell>
          <cell r="AW196">
            <v>1964.924</v>
          </cell>
          <cell r="AX196">
            <v>1956.165</v>
          </cell>
          <cell r="AY196">
            <v>1953.5440000000001</v>
          </cell>
          <cell r="AZ196">
            <v>1958.3030000000001</v>
          </cell>
          <cell r="BA196">
            <v>1969.345</v>
          </cell>
          <cell r="BB196">
            <v>1984.242</v>
          </cell>
          <cell r="BC196">
            <v>1999.3620000000001</v>
          </cell>
          <cell r="BD196">
            <v>2012.0509999999999</v>
          </cell>
          <cell r="BE196">
            <v>2021.585</v>
          </cell>
          <cell r="BF196">
            <v>2028.7059999999999</v>
          </cell>
          <cell r="BG196">
            <v>2033.9739999999999</v>
          </cell>
          <cell r="BH196">
            <v>2038.444</v>
          </cell>
          <cell r="BI196">
            <v>2042.894</v>
          </cell>
          <cell r="BJ196">
            <v>2047.33</v>
          </cell>
          <cell r="BK196">
            <v>2051.4270000000001</v>
          </cell>
          <cell r="BL196">
            <v>2055.2660000000001</v>
          </cell>
          <cell r="BM196">
            <v>2058.92</v>
          </cell>
          <cell r="BN196">
            <v>2062.4430000000002</v>
          </cell>
          <cell r="BO196">
            <v>2065.8879999999999</v>
          </cell>
          <cell r="BP196">
            <v>2069.27</v>
          </cell>
          <cell r="BQ196">
            <v>2072.5430000000001</v>
          </cell>
          <cell r="BR196">
            <v>2075.625</v>
          </cell>
          <cell r="BS196">
            <v>2078.453</v>
          </cell>
        </row>
        <row r="197">
          <cell r="E197">
            <v>926</v>
          </cell>
          <cell r="F197">
            <v>142255.67999999999</v>
          </cell>
          <cell r="G197">
            <v>142992.64199999999</v>
          </cell>
          <cell r="H197">
            <v>143835.06899999999</v>
          </cell>
          <cell r="I197">
            <v>144741.79</v>
          </cell>
          <cell r="J197">
            <v>145685.606</v>
          </cell>
          <cell r="K197">
            <v>146653.27299999999</v>
          </cell>
          <cell r="L197">
            <v>147646.394</v>
          </cell>
          <cell r="M197">
            <v>148680.53099999999</v>
          </cell>
          <cell r="N197">
            <v>149782.57699999999</v>
          </cell>
          <cell r="O197">
            <v>150986.421</v>
          </cell>
          <cell r="P197">
            <v>152319.76800000001</v>
          </cell>
          <cell r="Q197">
            <v>153790.20300000001</v>
          </cell>
          <cell r="R197">
            <v>155372.91399999999</v>
          </cell>
          <cell r="S197">
            <v>157005.473</v>
          </cell>
          <cell r="T197">
            <v>158602.67199999999</v>
          </cell>
          <cell r="U197">
            <v>160100.26699999999</v>
          </cell>
          <cell r="V197">
            <v>161472.807</v>
          </cell>
          <cell r="W197">
            <v>162727.18599999999</v>
          </cell>
          <cell r="X197">
            <v>163871.226</v>
          </cell>
          <cell r="Y197">
            <v>164925.223</v>
          </cell>
          <cell r="Z197">
            <v>165903.16099999999</v>
          </cell>
          <cell r="AA197">
            <v>166808.62700000001</v>
          </cell>
          <cell r="AB197">
            <v>167631.18900000001</v>
          </cell>
          <cell r="AC197">
            <v>168356.204</v>
          </cell>
          <cell r="AD197">
            <v>168964.08799999999</v>
          </cell>
          <cell r="AE197">
            <v>169445.06</v>
          </cell>
          <cell r="AF197">
            <v>169799.14199999999</v>
          </cell>
          <cell r="AG197">
            <v>170044.67300000001</v>
          </cell>
          <cell r="AH197">
            <v>170213.96900000001</v>
          </cell>
          <cell r="AI197">
            <v>170350.084</v>
          </cell>
          <cell r="AJ197">
            <v>170489.31299999999</v>
          </cell>
          <cell r="AK197">
            <v>170642.46799999999</v>
          </cell>
          <cell r="AL197">
            <v>170818.08300000001</v>
          </cell>
          <cell r="AM197">
            <v>171047.03</v>
          </cell>
          <cell r="AN197">
            <v>171364.13699999999</v>
          </cell>
          <cell r="AO197">
            <v>171794.19500000001</v>
          </cell>
          <cell r="AP197">
            <v>172342.557</v>
          </cell>
          <cell r="AQ197">
            <v>173003.77900000001</v>
          </cell>
          <cell r="AR197">
            <v>173775.516</v>
          </cell>
          <cell r="AS197">
            <v>174650.43799999999</v>
          </cell>
          <cell r="AT197">
            <v>175615.37700000001</v>
          </cell>
          <cell r="AU197">
            <v>176680.894</v>
          </cell>
          <cell r="AV197">
            <v>177828.231</v>
          </cell>
          <cell r="AW197">
            <v>178978.872</v>
          </cell>
          <cell r="AX197">
            <v>180029.79199999999</v>
          </cell>
          <cell r="AY197">
            <v>180909.22399999999</v>
          </cell>
          <cell r="AZ197">
            <v>181582.198</v>
          </cell>
          <cell r="BA197">
            <v>182072.91899999999</v>
          </cell>
          <cell r="BB197">
            <v>182442.51800000001</v>
          </cell>
          <cell r="BC197">
            <v>182783.40900000001</v>
          </cell>
          <cell r="BD197">
            <v>183163.43900000001</v>
          </cell>
          <cell r="BE197">
            <v>183603.095</v>
          </cell>
          <cell r="BF197">
            <v>184083.75599999999</v>
          </cell>
          <cell r="BG197">
            <v>184587.86600000001</v>
          </cell>
          <cell r="BH197">
            <v>185084.14199999999</v>
          </cell>
          <cell r="BI197">
            <v>185551.55600000001</v>
          </cell>
          <cell r="BJ197">
            <v>185983.79199999999</v>
          </cell>
          <cell r="BK197">
            <v>186395.182</v>
          </cell>
          <cell r="BL197">
            <v>186808.99</v>
          </cell>
          <cell r="BM197">
            <v>187257.43700000001</v>
          </cell>
          <cell r="BN197">
            <v>187761.522</v>
          </cell>
          <cell r="BO197">
            <v>188331.18700000001</v>
          </cell>
          <cell r="BP197">
            <v>188953.36799999999</v>
          </cell>
          <cell r="BQ197">
            <v>189597.80300000001</v>
          </cell>
          <cell r="BR197">
            <v>190221.63399999999</v>
          </cell>
          <cell r="BS197">
            <v>190793.63200000001</v>
          </cell>
        </row>
        <row r="198">
          <cell r="E198">
            <v>40</v>
          </cell>
          <cell r="F198">
            <v>6936.4449999999997</v>
          </cell>
          <cell r="G198">
            <v>6930.348</v>
          </cell>
          <cell r="H198">
            <v>6929.2889999999998</v>
          </cell>
          <cell r="I198">
            <v>6932.4269999999997</v>
          </cell>
          <cell r="J198">
            <v>6939.23</v>
          </cell>
          <cell r="K198">
            <v>6949.482</v>
          </cell>
          <cell r="L198">
            <v>6963.2979999999998</v>
          </cell>
          <cell r="M198">
            <v>6981.1049999999996</v>
          </cell>
          <cell r="N198">
            <v>7003.5749999999998</v>
          </cell>
          <cell r="O198">
            <v>7031.5129999999999</v>
          </cell>
          <cell r="P198">
            <v>7065.5249999999996</v>
          </cell>
          <cell r="Q198">
            <v>7105.6540000000005</v>
          </cell>
          <cell r="R198">
            <v>7151.0770000000002</v>
          </cell>
          <cell r="S198">
            <v>7199.9620000000004</v>
          </cell>
          <cell r="T198">
            <v>7249.8549999999996</v>
          </cell>
          <cell r="U198">
            <v>7298.7939999999999</v>
          </cell>
          <cell r="V198">
            <v>7345.8649999999998</v>
          </cell>
          <cell r="W198">
            <v>7390.8530000000001</v>
          </cell>
          <cell r="X198">
            <v>7433.3280000000004</v>
          </cell>
          <cell r="Y198">
            <v>7473.058</v>
          </cell>
          <cell r="Z198">
            <v>7509.7460000000001</v>
          </cell>
          <cell r="AA198">
            <v>7543.451</v>
          </cell>
          <cell r="AB198">
            <v>7573.66</v>
          </cell>
          <cell r="AC198">
            <v>7598.9250000000002</v>
          </cell>
          <cell r="AD198">
            <v>7617.4319999999998</v>
          </cell>
          <cell r="AE198">
            <v>7628.1379999999999</v>
          </cell>
          <cell r="AF198">
            <v>7630.5360000000001</v>
          </cell>
          <cell r="AG198">
            <v>7625.7240000000002</v>
          </cell>
          <cell r="AH198">
            <v>7616.3090000000002</v>
          </cell>
          <cell r="AI198">
            <v>7605.8879999999999</v>
          </cell>
          <cell r="AJ198">
            <v>7597.2690000000002</v>
          </cell>
          <cell r="AK198">
            <v>7591.6180000000004</v>
          </cell>
          <cell r="AL198">
            <v>7588.9570000000003</v>
          </cell>
          <cell r="AM198">
            <v>7589.5730000000003</v>
          </cell>
          <cell r="AN198">
            <v>7593.3969999999999</v>
          </cell>
          <cell r="AO198">
            <v>7600.5140000000001</v>
          </cell>
          <cell r="AP198">
            <v>7610.4350000000004</v>
          </cell>
          <cell r="AQ198">
            <v>7623.7</v>
          </cell>
          <cell r="AR198">
            <v>7642.4790000000003</v>
          </cell>
          <cell r="AS198">
            <v>7669.6009999999997</v>
          </cell>
          <cell r="AT198">
            <v>7706.5709999999999</v>
          </cell>
          <cell r="AU198">
            <v>7755.143</v>
          </cell>
          <cell r="AV198">
            <v>7813.393</v>
          </cell>
          <cell r="AW198">
            <v>7874.6750000000002</v>
          </cell>
          <cell r="AX198">
            <v>7929.9110000000001</v>
          </cell>
          <cell r="AY198">
            <v>7972.8329999999996</v>
          </cell>
          <cell r="AZ198">
            <v>8000.4530000000004</v>
          </cell>
          <cell r="BA198">
            <v>8015.2560000000003</v>
          </cell>
          <cell r="BB198">
            <v>8023.1660000000002</v>
          </cell>
          <cell r="BC198">
            <v>8032.9530000000004</v>
          </cell>
          <cell r="BD198">
            <v>8050.884</v>
          </cell>
          <cell r="BE198">
            <v>8078.8770000000004</v>
          </cell>
          <cell r="BF198">
            <v>8114.6980000000003</v>
          </cell>
          <cell r="BG198">
            <v>8155.4660000000003</v>
          </cell>
          <cell r="BH198">
            <v>8196.6239999999998</v>
          </cell>
          <cell r="BI198">
            <v>8234.8580000000002</v>
          </cell>
          <cell r="BJ198">
            <v>8269.3719999999994</v>
          </cell>
          <cell r="BK198">
            <v>8301.2900000000009</v>
          </cell>
          <cell r="BL198">
            <v>8331.4650000000001</v>
          </cell>
          <cell r="BM198">
            <v>8361.3619999999992</v>
          </cell>
          <cell r="BN198">
            <v>8391.9860000000008</v>
          </cell>
          <cell r="BO198">
            <v>8423.5589999999993</v>
          </cell>
          <cell r="BP198">
            <v>8455.4770000000008</v>
          </cell>
          <cell r="BQ198">
            <v>8486.9619999999995</v>
          </cell>
          <cell r="BR198">
            <v>8516.9159999999993</v>
          </cell>
          <cell r="BS198">
            <v>8544.5859999999993</v>
          </cell>
        </row>
        <row r="199">
          <cell r="E199">
            <v>56</v>
          </cell>
          <cell r="F199">
            <v>8628.4889999999996</v>
          </cell>
          <cell r="G199">
            <v>8673.6910000000007</v>
          </cell>
          <cell r="H199">
            <v>8721.1919999999991</v>
          </cell>
          <cell r="I199">
            <v>8770.1959999999999</v>
          </cell>
          <cell r="J199">
            <v>8820.1610000000001</v>
          </cell>
          <cell r="K199">
            <v>8870.7919999999995</v>
          </cell>
          <cell r="L199">
            <v>8922.0689999999995</v>
          </cell>
          <cell r="M199">
            <v>8974.2209999999995</v>
          </cell>
          <cell r="N199">
            <v>9027.6790000000001</v>
          </cell>
          <cell r="O199">
            <v>9082.991</v>
          </cell>
          <cell r="P199">
            <v>9140.5630000000001</v>
          </cell>
          <cell r="Q199">
            <v>9200.393</v>
          </cell>
          <cell r="R199">
            <v>9261.8279999999995</v>
          </cell>
          <cell r="S199">
            <v>9323.4670000000006</v>
          </cell>
          <cell r="T199">
            <v>9383.4429999999993</v>
          </cell>
          <cell r="U199">
            <v>9440.2790000000005</v>
          </cell>
          <cell r="V199">
            <v>9493.6560000000009</v>
          </cell>
          <cell r="W199">
            <v>9543.5329999999994</v>
          </cell>
          <cell r="X199">
            <v>9589.107</v>
          </cell>
          <cell r="Y199">
            <v>9629.5280000000002</v>
          </cell>
          <cell r="Z199">
            <v>9664.32</v>
          </cell>
          <cell r="AA199">
            <v>9692.9</v>
          </cell>
          <cell r="AB199">
            <v>9715.6730000000007</v>
          </cell>
          <cell r="AC199">
            <v>9734.4120000000003</v>
          </cell>
          <cell r="AD199">
            <v>9751.5920000000006</v>
          </cell>
          <cell r="AE199">
            <v>9769.0059999999994</v>
          </cell>
          <cell r="AF199">
            <v>9787.5759999999991</v>
          </cell>
          <cell r="AG199">
            <v>9806.8850000000002</v>
          </cell>
          <cell r="AH199">
            <v>9825.7790000000005</v>
          </cell>
          <cell r="AI199">
            <v>9842.4529999999995</v>
          </cell>
          <cell r="AJ199">
            <v>9855.7469999999994</v>
          </cell>
          <cell r="AK199">
            <v>9865.5120000000006</v>
          </cell>
          <cell r="AL199">
            <v>9872.7090000000007</v>
          </cell>
          <cell r="AM199">
            <v>9878.6360000000004</v>
          </cell>
          <cell r="AN199">
            <v>9885.0879999999997</v>
          </cell>
          <cell r="AO199">
            <v>9893.4989999999998</v>
          </cell>
          <cell r="AP199">
            <v>9903.8950000000004</v>
          </cell>
          <cell r="AQ199">
            <v>9916.2610000000004</v>
          </cell>
          <cell r="AR199">
            <v>9931.8729999999996</v>
          </cell>
          <cell r="AS199">
            <v>9952.2530000000006</v>
          </cell>
          <cell r="AT199">
            <v>9978.241</v>
          </cell>
          <cell r="AU199">
            <v>10011.217000000001</v>
          </cell>
          <cell r="AV199">
            <v>10050.405000000001</v>
          </cell>
          <cell r="AW199">
            <v>10091.888999999999</v>
          </cell>
          <cell r="AX199">
            <v>10130.251</v>
          </cell>
          <cell r="AY199">
            <v>10161.914000000001</v>
          </cell>
          <cell r="AZ199">
            <v>10185.076999999999</v>
          </cell>
          <cell r="BA199">
            <v>10201.758</v>
          </cell>
          <cell r="BB199">
            <v>10216.867</v>
          </cell>
          <cell r="BC199">
            <v>10237.402</v>
          </cell>
          <cell r="BD199">
            <v>10268.379999999999</v>
          </cell>
          <cell r="BE199">
            <v>10311.331</v>
          </cell>
          <cell r="BF199">
            <v>10364.612999999999</v>
          </cell>
          <cell r="BG199">
            <v>10426.169</v>
          </cell>
          <cell r="BH199">
            <v>10492.643</v>
          </cell>
          <cell r="BI199">
            <v>10561.436</v>
          </cell>
          <cell r="BJ199">
            <v>10632.031999999999</v>
          </cell>
          <cell r="BK199">
            <v>10704.83</v>
          </cell>
          <cell r="BL199">
            <v>10779.155000000001</v>
          </cell>
          <cell r="BM199">
            <v>10854.388000000001</v>
          </cell>
          <cell r="BN199">
            <v>10929.977999999999</v>
          </cell>
          <cell r="BO199">
            <v>11005.174999999999</v>
          </cell>
          <cell r="BP199">
            <v>11079.521000000001</v>
          </cell>
          <cell r="BQ199">
            <v>11153.121999999999</v>
          </cell>
          <cell r="BR199">
            <v>11226.322</v>
          </cell>
          <cell r="BS199">
            <v>11299.191999999999</v>
          </cell>
        </row>
        <row r="200">
          <cell r="E200">
            <v>250</v>
          </cell>
          <cell r="F200">
            <v>41879.607000000004</v>
          </cell>
          <cell r="G200">
            <v>42071.027000000002</v>
          </cell>
          <cell r="H200">
            <v>42365.756000000001</v>
          </cell>
          <cell r="I200">
            <v>42724.451999999997</v>
          </cell>
          <cell r="J200">
            <v>43118.11</v>
          </cell>
          <cell r="K200">
            <v>43528.065000000002</v>
          </cell>
          <cell r="L200">
            <v>43946.534</v>
          </cell>
          <cell r="M200">
            <v>44376.072999999997</v>
          </cell>
          <cell r="N200">
            <v>44827.95</v>
          </cell>
          <cell r="O200">
            <v>45319.442000000003</v>
          </cell>
          <cell r="P200">
            <v>45865.699000000001</v>
          </cell>
          <cell r="Q200">
            <v>46471.082999999999</v>
          </cell>
          <cell r="R200">
            <v>47121.574999999997</v>
          </cell>
          <cell r="S200">
            <v>47781.535000000003</v>
          </cell>
          <cell r="T200">
            <v>48402.9</v>
          </cell>
          <cell r="U200">
            <v>48952.283000000003</v>
          </cell>
          <cell r="V200">
            <v>49411.341999999997</v>
          </cell>
          <cell r="W200">
            <v>49791.771000000001</v>
          </cell>
          <cell r="X200">
            <v>50126.894999999997</v>
          </cell>
          <cell r="Y200">
            <v>50466.182999999997</v>
          </cell>
          <cell r="Z200">
            <v>50843.83</v>
          </cell>
          <cell r="AA200">
            <v>51273.974999999999</v>
          </cell>
          <cell r="AB200">
            <v>51741.044000000002</v>
          </cell>
          <cell r="AC200">
            <v>52214.014000000003</v>
          </cell>
          <cell r="AD200">
            <v>52647.616000000002</v>
          </cell>
          <cell r="AE200">
            <v>53010.726999999999</v>
          </cell>
          <cell r="AF200">
            <v>53293.03</v>
          </cell>
          <cell r="AG200">
            <v>53509.578000000001</v>
          </cell>
          <cell r="AH200">
            <v>53685.485999999997</v>
          </cell>
          <cell r="AI200">
            <v>53857.61</v>
          </cell>
          <cell r="AJ200">
            <v>54053.224000000002</v>
          </cell>
          <cell r="AK200">
            <v>54279.038</v>
          </cell>
          <cell r="AL200">
            <v>54528.408000000003</v>
          </cell>
          <cell r="AM200">
            <v>54799.048999999999</v>
          </cell>
          <cell r="AN200">
            <v>55084.677000000003</v>
          </cell>
          <cell r="AO200">
            <v>55379.923000000003</v>
          </cell>
          <cell r="AP200">
            <v>55686.61</v>
          </cell>
          <cell r="AQ200">
            <v>56005.442999999999</v>
          </cell>
          <cell r="AR200">
            <v>56328.053</v>
          </cell>
          <cell r="AS200">
            <v>56643.349000000002</v>
          </cell>
          <cell r="AT200">
            <v>56943.298999999999</v>
          </cell>
          <cell r="AU200">
            <v>57226.523999999998</v>
          </cell>
          <cell r="AV200">
            <v>57495.252</v>
          </cell>
          <cell r="AW200">
            <v>57749.881000000001</v>
          </cell>
          <cell r="AX200">
            <v>57991.972999999998</v>
          </cell>
          <cell r="AY200">
            <v>58224.050999999999</v>
          </cell>
          <cell r="AZ200">
            <v>58443.317999999999</v>
          </cell>
          <cell r="BA200">
            <v>58652.709000000003</v>
          </cell>
          <cell r="BB200">
            <v>58867.464999999997</v>
          </cell>
          <cell r="BC200">
            <v>59107.737999999998</v>
          </cell>
          <cell r="BD200">
            <v>59387.182999999997</v>
          </cell>
          <cell r="BE200">
            <v>59711.913999999997</v>
          </cell>
          <cell r="BF200">
            <v>60075.783000000003</v>
          </cell>
          <cell r="BG200">
            <v>60464.857000000004</v>
          </cell>
          <cell r="BH200">
            <v>60858.654000000002</v>
          </cell>
          <cell r="BI200">
            <v>61241.7</v>
          </cell>
          <cell r="BJ200">
            <v>61609.991000000002</v>
          </cell>
          <cell r="BK200">
            <v>61966.192999999999</v>
          </cell>
          <cell r="BL200">
            <v>62309.529000000002</v>
          </cell>
          <cell r="BM200">
            <v>62640.900999999998</v>
          </cell>
          <cell r="BN200">
            <v>62961.135999999999</v>
          </cell>
          <cell r="BO200">
            <v>63268.404999999999</v>
          </cell>
          <cell r="BP200">
            <v>63561.798000000003</v>
          </cell>
          <cell r="BQ200">
            <v>63844.529000000002</v>
          </cell>
          <cell r="BR200">
            <v>64121.249000000003</v>
          </cell>
          <cell r="BS200">
            <v>64395.345000000001</v>
          </cell>
        </row>
        <row r="201">
          <cell r="E201">
            <v>276</v>
          </cell>
          <cell r="F201">
            <v>69786.245999999999</v>
          </cell>
          <cell r="G201">
            <v>70111.671000000002</v>
          </cell>
          <cell r="H201">
            <v>70421.462</v>
          </cell>
          <cell r="I201">
            <v>70720.721000000005</v>
          </cell>
          <cell r="J201">
            <v>71015.687999999995</v>
          </cell>
          <cell r="K201">
            <v>71313.740000000005</v>
          </cell>
          <cell r="L201">
            <v>71623.569000000003</v>
          </cell>
          <cell r="M201">
            <v>71955.005000000005</v>
          </cell>
          <cell r="N201">
            <v>72318.498000000007</v>
          </cell>
          <cell r="O201">
            <v>72724.259999999995</v>
          </cell>
          <cell r="P201">
            <v>73179.664999999994</v>
          </cell>
          <cell r="Q201">
            <v>73686.490000000005</v>
          </cell>
          <cell r="R201">
            <v>74238.494000000006</v>
          </cell>
          <cell r="S201">
            <v>74820.388999999996</v>
          </cell>
          <cell r="T201">
            <v>75410.766000000003</v>
          </cell>
          <cell r="U201">
            <v>75990.736999999994</v>
          </cell>
          <cell r="V201">
            <v>76558.016000000003</v>
          </cell>
          <cell r="W201">
            <v>77106.876000000004</v>
          </cell>
          <cell r="X201">
            <v>77611</v>
          </cell>
          <cell r="Y201">
            <v>78038.270999999993</v>
          </cell>
          <cell r="Z201">
            <v>78366.604999999996</v>
          </cell>
          <cell r="AA201">
            <v>78584.778999999995</v>
          </cell>
          <cell r="AB201">
            <v>78700.104000000007</v>
          </cell>
          <cell r="AC201">
            <v>78732.884000000005</v>
          </cell>
          <cell r="AD201">
            <v>78713.928</v>
          </cell>
          <cell r="AE201">
            <v>78667.327000000005</v>
          </cell>
          <cell r="AF201">
            <v>78604.472999999998</v>
          </cell>
          <cell r="AG201">
            <v>78524.726999999999</v>
          </cell>
          <cell r="AH201">
            <v>78426.714999999997</v>
          </cell>
          <cell r="AI201">
            <v>78305.017000000007</v>
          </cell>
          <cell r="AJ201">
            <v>78159.527000000002</v>
          </cell>
          <cell r="AK201">
            <v>77990.369000000006</v>
          </cell>
          <cell r="AL201">
            <v>77812.347999999998</v>
          </cell>
          <cell r="AM201">
            <v>77657.451000000001</v>
          </cell>
          <cell r="AN201">
            <v>77566.775999999998</v>
          </cell>
          <cell r="AO201">
            <v>77570.009000000005</v>
          </cell>
          <cell r="AP201">
            <v>77671.876999999993</v>
          </cell>
          <cell r="AQ201">
            <v>77864.380999999994</v>
          </cell>
          <cell r="AR201">
            <v>78146.937999999995</v>
          </cell>
          <cell r="AS201">
            <v>78514.789999999994</v>
          </cell>
          <cell r="AT201">
            <v>78958.236999999994</v>
          </cell>
          <cell r="AU201">
            <v>79483.739000000001</v>
          </cell>
          <cell r="AV201">
            <v>80075.94</v>
          </cell>
          <cell r="AW201">
            <v>80675.998999999996</v>
          </cell>
          <cell r="AX201">
            <v>81206.785999999993</v>
          </cell>
          <cell r="AY201">
            <v>81612.899999999994</v>
          </cell>
          <cell r="AZ201">
            <v>81870.771999999997</v>
          </cell>
          <cell r="BA201">
            <v>81993.831000000006</v>
          </cell>
          <cell r="BB201">
            <v>82010.183999999994</v>
          </cell>
          <cell r="BC201">
            <v>81965.83</v>
          </cell>
          <cell r="BD201">
            <v>81895.925000000003</v>
          </cell>
          <cell r="BE201">
            <v>81809.437999999995</v>
          </cell>
          <cell r="BF201">
            <v>81699.828999999998</v>
          </cell>
          <cell r="BG201">
            <v>81569.481</v>
          </cell>
          <cell r="BH201">
            <v>81417.790999999997</v>
          </cell>
          <cell r="BI201">
            <v>81246.801000000007</v>
          </cell>
          <cell r="BJ201">
            <v>81055.903999999995</v>
          </cell>
          <cell r="BK201">
            <v>80854.514999999999</v>
          </cell>
          <cell r="BL201">
            <v>80665.906000000003</v>
          </cell>
          <cell r="BM201">
            <v>80519.684999999998</v>
          </cell>
          <cell r="BN201">
            <v>80435.307000000001</v>
          </cell>
          <cell r="BO201">
            <v>80424.664999999994</v>
          </cell>
          <cell r="BP201">
            <v>80477.952000000005</v>
          </cell>
          <cell r="BQ201">
            <v>80565.861000000004</v>
          </cell>
          <cell r="BR201">
            <v>80646.262000000002</v>
          </cell>
          <cell r="BS201">
            <v>80688.544999999998</v>
          </cell>
        </row>
        <row r="202">
          <cell r="E202">
            <v>438</v>
          </cell>
          <cell r="F202">
            <v>13.757</v>
          </cell>
          <cell r="G202">
            <v>13.942</v>
          </cell>
          <cell r="H202">
            <v>14.135</v>
          </cell>
          <cell r="I202">
            <v>14.342000000000001</v>
          </cell>
          <cell r="J202">
            <v>14.571999999999999</v>
          </cell>
          <cell r="K202">
            <v>14.829000000000001</v>
          </cell>
          <cell r="L202">
            <v>15.115</v>
          </cell>
          <cell r="M202">
            <v>15.429</v>
          </cell>
          <cell r="N202">
            <v>15.766999999999999</v>
          </cell>
          <cell r="O202">
            <v>16.128</v>
          </cell>
          <cell r="P202">
            <v>16.504000000000001</v>
          </cell>
          <cell r="Q202">
            <v>16.893999999999998</v>
          </cell>
          <cell r="R202">
            <v>17.297999999999998</v>
          </cell>
          <cell r="S202">
            <v>17.722000000000001</v>
          </cell>
          <cell r="T202">
            <v>18.170000000000002</v>
          </cell>
          <cell r="U202">
            <v>18.646999999999998</v>
          </cell>
          <cell r="V202">
            <v>19.155999999999999</v>
          </cell>
          <cell r="W202">
            <v>19.690999999999999</v>
          </cell>
          <cell r="X202">
            <v>20.234999999999999</v>
          </cell>
          <cell r="Y202">
            <v>20.765000000000001</v>
          </cell>
          <cell r="Z202">
            <v>21.265999999999998</v>
          </cell>
          <cell r="AA202">
            <v>21.725999999999999</v>
          </cell>
          <cell r="AB202">
            <v>22.152999999999999</v>
          </cell>
          <cell r="AC202">
            <v>22.562000000000001</v>
          </cell>
          <cell r="AD202">
            <v>22.984000000000002</v>
          </cell>
          <cell r="AE202">
            <v>23.434999999999999</v>
          </cell>
          <cell r="AF202">
            <v>23.925999999999998</v>
          </cell>
          <cell r="AG202">
            <v>24.443999999999999</v>
          </cell>
          <cell r="AH202">
            <v>24.963000000000001</v>
          </cell>
          <cell r="AI202">
            <v>25.446999999999999</v>
          </cell>
          <cell r="AJ202">
            <v>25.869</v>
          </cell>
          <cell r="AK202">
            <v>26.221</v>
          </cell>
          <cell r="AL202">
            <v>26.513999999999999</v>
          </cell>
          <cell r="AM202">
            <v>26.768000000000001</v>
          </cell>
          <cell r="AN202">
            <v>27.009</v>
          </cell>
          <cell r="AO202">
            <v>27.259</v>
          </cell>
          <cell r="AP202">
            <v>27.523</v>
          </cell>
          <cell r="AQ202">
            <v>27.798999999999999</v>
          </cell>
          <cell r="AR202">
            <v>28.091000000000001</v>
          </cell>
          <cell r="AS202">
            <v>28.405000000000001</v>
          </cell>
          <cell r="AT202">
            <v>28.745000000000001</v>
          </cell>
          <cell r="AU202">
            <v>29.111000000000001</v>
          </cell>
          <cell r="AV202">
            <v>29.503</v>
          </cell>
          <cell r="AW202">
            <v>29.920999999999999</v>
          </cell>
          <cell r="AX202">
            <v>30.364999999999998</v>
          </cell>
          <cell r="AY202">
            <v>30.832999999999998</v>
          </cell>
          <cell r="AZ202">
            <v>31.327000000000002</v>
          </cell>
          <cell r="BA202">
            <v>31.841999999999999</v>
          </cell>
          <cell r="BB202">
            <v>32.356999999999999</v>
          </cell>
          <cell r="BC202">
            <v>32.843000000000004</v>
          </cell>
          <cell r="BD202">
            <v>33.281999999999996</v>
          </cell>
          <cell r="BE202">
            <v>33.662999999999997</v>
          </cell>
          <cell r="BF202">
            <v>33.994999999999997</v>
          </cell>
          <cell r="BG202">
            <v>34.29</v>
          </cell>
          <cell r="BH202">
            <v>34.569000000000003</v>
          </cell>
          <cell r="BI202">
            <v>34.851999999999997</v>
          </cell>
          <cell r="BJ202">
            <v>35.140999999999998</v>
          </cell>
          <cell r="BK202">
            <v>35.430999999999997</v>
          </cell>
          <cell r="BL202">
            <v>35.720999999999997</v>
          </cell>
          <cell r="BM202">
            <v>36.003999999999998</v>
          </cell>
          <cell r="BN202">
            <v>36.276000000000003</v>
          </cell>
          <cell r="BO202">
            <v>36.536999999999999</v>
          </cell>
          <cell r="BP202">
            <v>36.790999999999997</v>
          </cell>
          <cell r="BQ202">
            <v>37.04</v>
          </cell>
          <cell r="BR202">
            <v>37.286000000000001</v>
          </cell>
          <cell r="BS202">
            <v>37.530999999999999</v>
          </cell>
        </row>
        <row r="203">
          <cell r="E203">
            <v>442</v>
          </cell>
          <cell r="F203">
            <v>296.00099999999998</v>
          </cell>
          <cell r="G203">
            <v>297.58800000000002</v>
          </cell>
          <cell r="H203">
            <v>299.49900000000002</v>
          </cell>
          <cell r="I203">
            <v>301.505</v>
          </cell>
          <cell r="J203">
            <v>303.452</v>
          </cell>
          <cell r="K203">
            <v>305.26499999999999</v>
          </cell>
          <cell r="L203">
            <v>306.94299999999998</v>
          </cell>
          <cell r="M203">
            <v>308.56200000000001</v>
          </cell>
          <cell r="N203">
            <v>310.26</v>
          </cell>
          <cell r="O203">
            <v>312.21600000000001</v>
          </cell>
          <cell r="P203">
            <v>314.58600000000001</v>
          </cell>
          <cell r="Q203">
            <v>317.44200000000001</v>
          </cell>
          <cell r="R203">
            <v>320.70400000000001</v>
          </cell>
          <cell r="S203">
            <v>324.12700000000001</v>
          </cell>
          <cell r="T203">
            <v>327.36099999999999</v>
          </cell>
          <cell r="U203">
            <v>330.16399999999999</v>
          </cell>
          <cell r="V203">
            <v>332.42099999999999</v>
          </cell>
          <cell r="W203">
            <v>334.23099999999999</v>
          </cell>
          <cell r="X203">
            <v>335.83100000000002</v>
          </cell>
          <cell r="Y203">
            <v>337.565</v>
          </cell>
          <cell r="Z203">
            <v>339.673</v>
          </cell>
          <cell r="AA203">
            <v>342.22399999999999</v>
          </cell>
          <cell r="AB203">
            <v>345.108</v>
          </cell>
          <cell r="AC203">
            <v>348.173</v>
          </cell>
          <cell r="AD203">
            <v>351.19</v>
          </cell>
          <cell r="AE203">
            <v>353.98399999999998</v>
          </cell>
          <cell r="AF203">
            <v>356.56299999999999</v>
          </cell>
          <cell r="AG203">
            <v>358.96100000000001</v>
          </cell>
          <cell r="AH203">
            <v>361.07799999999997</v>
          </cell>
          <cell r="AI203">
            <v>362.791</v>
          </cell>
          <cell r="AJ203">
            <v>364.04399999999998</v>
          </cell>
          <cell r="AK203">
            <v>364.779</v>
          </cell>
          <cell r="AL203">
            <v>365.09800000000001</v>
          </cell>
          <cell r="AM203">
            <v>365.30099999999999</v>
          </cell>
          <cell r="AN203">
            <v>365.79500000000002</v>
          </cell>
          <cell r="AO203">
            <v>366.88400000000001</v>
          </cell>
          <cell r="AP203">
            <v>368.66199999999998</v>
          </cell>
          <cell r="AQ203">
            <v>371.07900000000001</v>
          </cell>
          <cell r="AR203">
            <v>374.11700000000002</v>
          </cell>
          <cell r="AS203">
            <v>377.70800000000003</v>
          </cell>
          <cell r="AT203">
            <v>381.78699999999998</v>
          </cell>
          <cell r="AU203">
            <v>386.35500000000002</v>
          </cell>
          <cell r="AV203">
            <v>391.4</v>
          </cell>
          <cell r="AW203">
            <v>396.80700000000002</v>
          </cell>
          <cell r="AX203">
            <v>402.43099999999998</v>
          </cell>
          <cell r="AY203">
            <v>408.14800000000002</v>
          </cell>
          <cell r="AZ203">
            <v>414</v>
          </cell>
          <cell r="BA203">
            <v>419.97399999999999</v>
          </cell>
          <cell r="BB203">
            <v>425.83</v>
          </cell>
          <cell r="BC203">
            <v>431.26400000000001</v>
          </cell>
          <cell r="BD203">
            <v>436.10700000000003</v>
          </cell>
          <cell r="BE203">
            <v>440.19799999999998</v>
          </cell>
          <cell r="BF203">
            <v>443.72899999999998</v>
          </cell>
          <cell r="BG203">
            <v>447.32100000000003</v>
          </cell>
          <cell r="BH203">
            <v>451.82600000000002</v>
          </cell>
          <cell r="BI203">
            <v>457.84699999999998</v>
          </cell>
          <cell r="BJ203">
            <v>465.54599999999999</v>
          </cell>
          <cell r="BK203">
            <v>474.70499999999998</v>
          </cell>
          <cell r="BL203">
            <v>485.07900000000001</v>
          </cell>
          <cell r="BM203">
            <v>496.25700000000001</v>
          </cell>
          <cell r="BN203">
            <v>507.88900000000001</v>
          </cell>
          <cell r="BO203">
            <v>519.98099999999999</v>
          </cell>
          <cell r="BP203">
            <v>532.47900000000004</v>
          </cell>
          <cell r="BQ203">
            <v>544.88499999999999</v>
          </cell>
          <cell r="BR203">
            <v>556.57299999999998</v>
          </cell>
          <cell r="BS203">
            <v>567.11</v>
          </cell>
        </row>
        <row r="204">
          <cell r="E204">
            <v>492</v>
          </cell>
          <cell r="F204">
            <v>20</v>
          </cell>
          <cell r="G204">
            <v>19.378</v>
          </cell>
          <cell r="H204">
            <v>19.077000000000002</v>
          </cell>
          <cell r="I204">
            <v>19.053000000000001</v>
          </cell>
          <cell r="J204">
            <v>19.263999999999999</v>
          </cell>
          <cell r="K204">
            <v>19.658000000000001</v>
          </cell>
          <cell r="L204">
            <v>20.184000000000001</v>
          </cell>
          <cell r="M204">
            <v>20.785</v>
          </cell>
          <cell r="N204">
            <v>21.4</v>
          </cell>
          <cell r="O204">
            <v>21.972999999999999</v>
          </cell>
          <cell r="P204">
            <v>22.454000000000001</v>
          </cell>
          <cell r="Q204">
            <v>22.812000000000001</v>
          </cell>
          <cell r="R204">
            <v>23.042000000000002</v>
          </cell>
          <cell r="S204">
            <v>23.169</v>
          </cell>
          <cell r="T204">
            <v>23.236999999999998</v>
          </cell>
          <cell r="U204">
            <v>23.283000000000001</v>
          </cell>
          <cell r="V204">
            <v>23.303999999999998</v>
          </cell>
          <cell r="W204">
            <v>23.297000000000001</v>
          </cell>
          <cell r="X204">
            <v>23.295999999999999</v>
          </cell>
          <cell r="Y204">
            <v>23.347999999999999</v>
          </cell>
          <cell r="Z204">
            <v>23.484000000000002</v>
          </cell>
          <cell r="AA204">
            <v>23.722000000000001</v>
          </cell>
          <cell r="AB204">
            <v>24.052</v>
          </cell>
          <cell r="AC204">
            <v>24.44</v>
          </cell>
          <cell r="AD204">
            <v>24.835000000000001</v>
          </cell>
          <cell r="AE204">
            <v>25.201000000000001</v>
          </cell>
          <cell r="AF204">
            <v>25.521000000000001</v>
          </cell>
          <cell r="AG204">
            <v>25.809000000000001</v>
          </cell>
          <cell r="AH204">
            <v>26.085999999999999</v>
          </cell>
          <cell r="AI204">
            <v>26.390999999999998</v>
          </cell>
          <cell r="AJ204">
            <v>26.745999999999999</v>
          </cell>
          <cell r="AK204">
            <v>27.164999999999999</v>
          </cell>
          <cell r="AL204">
            <v>27.629000000000001</v>
          </cell>
          <cell r="AM204">
            <v>28.097999999999999</v>
          </cell>
          <cell r="AN204">
            <v>28.513999999999999</v>
          </cell>
          <cell r="AO204">
            <v>28.835999999999999</v>
          </cell>
          <cell r="AP204">
            <v>29.047999999999998</v>
          </cell>
          <cell r="AQ204">
            <v>29.169</v>
          </cell>
          <cell r="AR204">
            <v>29.238</v>
          </cell>
          <cell r="AS204">
            <v>29.312999999999999</v>
          </cell>
          <cell r="AT204">
            <v>29.437999999999999</v>
          </cell>
          <cell r="AU204">
            <v>29.626000000000001</v>
          </cell>
          <cell r="AV204">
            <v>29.864000000000001</v>
          </cell>
          <cell r="AW204">
            <v>30.138000000000002</v>
          </cell>
          <cell r="AX204">
            <v>30.422999999999998</v>
          </cell>
          <cell r="AY204">
            <v>30.7</v>
          </cell>
          <cell r="AZ204">
            <v>30.971</v>
          </cell>
          <cell r="BA204">
            <v>31.242000000000001</v>
          </cell>
          <cell r="BB204">
            <v>31.516999999999999</v>
          </cell>
          <cell r="BC204">
            <v>31.795000000000002</v>
          </cell>
          <cell r="BD204">
            <v>32.081000000000003</v>
          </cell>
          <cell r="BE204">
            <v>32.363999999999997</v>
          </cell>
          <cell r="BF204">
            <v>32.648000000000003</v>
          </cell>
          <cell r="BG204">
            <v>32.96</v>
          </cell>
          <cell r="BH204">
            <v>33.338999999999999</v>
          </cell>
          <cell r="BI204">
            <v>33.808</v>
          </cell>
          <cell r="BJ204">
            <v>34.384</v>
          </cell>
          <cell r="BK204">
            <v>35.045999999999999</v>
          </cell>
          <cell r="BL204">
            <v>35.731000000000002</v>
          </cell>
          <cell r="BM204">
            <v>36.350999999999999</v>
          </cell>
          <cell r="BN204">
            <v>36.844999999999999</v>
          </cell>
          <cell r="BO204">
            <v>37.189</v>
          </cell>
          <cell r="BP204">
            <v>37.404000000000003</v>
          </cell>
          <cell r="BQ204">
            <v>37.527999999999999</v>
          </cell>
          <cell r="BR204">
            <v>37.622999999999998</v>
          </cell>
          <cell r="BS204">
            <v>37.731000000000002</v>
          </cell>
        </row>
        <row r="205">
          <cell r="E205">
            <v>528</v>
          </cell>
          <cell r="F205">
            <v>10027.047</v>
          </cell>
          <cell r="G205">
            <v>10148.714</v>
          </cell>
          <cell r="H205">
            <v>10275.700999999999</v>
          </cell>
          <cell r="I205">
            <v>10407.107</v>
          </cell>
          <cell r="J205">
            <v>10542.244000000001</v>
          </cell>
          <cell r="K205">
            <v>10680.632</v>
          </cell>
          <cell r="L205">
            <v>10822.018</v>
          </cell>
          <cell r="M205">
            <v>10966.358</v>
          </cell>
          <cell r="N205">
            <v>11113.776</v>
          </cell>
          <cell r="O205">
            <v>11264.501</v>
          </cell>
          <cell r="P205">
            <v>11418.652</v>
          </cell>
          <cell r="Q205">
            <v>11576.023999999999</v>
          </cell>
          <cell r="R205">
            <v>11735.896000000001</v>
          </cell>
          <cell r="S205">
            <v>11896.941999999999</v>
          </cell>
          <cell r="T205">
            <v>12057.475</v>
          </cell>
          <cell r="U205">
            <v>12216.121999999999</v>
          </cell>
          <cell r="V205">
            <v>12372.136</v>
          </cell>
          <cell r="W205">
            <v>12525.253000000001</v>
          </cell>
          <cell r="X205">
            <v>12675.175999999999</v>
          </cell>
          <cell r="Y205">
            <v>12821.786</v>
          </cell>
          <cell r="Z205">
            <v>12964.88</v>
          </cell>
          <cell r="AA205">
            <v>13104.216</v>
          </cell>
          <cell r="AB205">
            <v>13239.282999999999</v>
          </cell>
          <cell r="AC205">
            <v>13369.325999999999</v>
          </cell>
          <cell r="AD205">
            <v>13493.46</v>
          </cell>
          <cell r="AE205">
            <v>13611.064</v>
          </cell>
          <cell r="AF205">
            <v>13722.272000000001</v>
          </cell>
          <cell r="AG205">
            <v>13827.329</v>
          </cell>
          <cell r="AH205">
            <v>13925.97</v>
          </cell>
          <cell r="AI205">
            <v>14017.909</v>
          </cell>
          <cell r="AJ205">
            <v>14103.279</v>
          </cell>
          <cell r="AK205">
            <v>14181.967000000001</v>
          </cell>
          <cell r="AL205">
            <v>14255.050999999999</v>
          </cell>
          <cell r="AM205">
            <v>14325.362999999999</v>
          </cell>
          <cell r="AN205">
            <v>14396.606</v>
          </cell>
          <cell r="AO205">
            <v>14471.591</v>
          </cell>
          <cell r="AP205">
            <v>14551.065000000001</v>
          </cell>
          <cell r="AQ205">
            <v>14634.787</v>
          </cell>
          <cell r="AR205">
            <v>14723.266</v>
          </cell>
          <cell r="AS205">
            <v>14816.751</v>
          </cell>
          <cell r="AT205">
            <v>14915.138999999999</v>
          </cell>
          <cell r="AU205">
            <v>15019.183999999999</v>
          </cell>
          <cell r="AV205">
            <v>15128.288</v>
          </cell>
          <cell r="AW205">
            <v>15239.262000000001</v>
          </cell>
          <cell r="AX205">
            <v>15347.791999999999</v>
          </cell>
          <cell r="AY205">
            <v>15450.803</v>
          </cell>
          <cell r="AZ205">
            <v>15546.647000000001</v>
          </cell>
          <cell r="BA205">
            <v>15636.130999999999</v>
          </cell>
          <cell r="BB205">
            <v>15721.627</v>
          </cell>
          <cell r="BC205">
            <v>15806.771000000001</v>
          </cell>
          <cell r="BD205">
            <v>15894.016</v>
          </cell>
          <cell r="BE205">
            <v>15984.365</v>
          </cell>
          <cell r="BF205">
            <v>16076.427</v>
          </cell>
          <cell r="BG205">
            <v>16167.421</v>
          </cell>
          <cell r="BH205">
            <v>16253.397000000001</v>
          </cell>
          <cell r="BI205">
            <v>16331.646000000001</v>
          </cell>
          <cell r="BJ205">
            <v>16401.105</v>
          </cell>
          <cell r="BK205">
            <v>16463.030999999999</v>
          </cell>
          <cell r="BL205">
            <v>16519.862000000001</v>
          </cell>
          <cell r="BM205">
            <v>16575.172999999999</v>
          </cell>
          <cell r="BN205">
            <v>16631.571</v>
          </cell>
          <cell r="BO205">
            <v>16689.863000000001</v>
          </cell>
          <cell r="BP205">
            <v>16749.317999999999</v>
          </cell>
          <cell r="BQ205">
            <v>16809.156999999999</v>
          </cell>
          <cell r="BR205">
            <v>16868.02</v>
          </cell>
          <cell r="BS205">
            <v>16924.929</v>
          </cell>
        </row>
        <row r="206">
          <cell r="E206">
            <v>756</v>
          </cell>
          <cell r="F206">
            <v>4668.0879999999997</v>
          </cell>
          <cell r="G206">
            <v>4726.2830000000004</v>
          </cell>
          <cell r="H206">
            <v>4788.9579999999996</v>
          </cell>
          <cell r="I206">
            <v>4851.9870000000001</v>
          </cell>
          <cell r="J206">
            <v>4912.8850000000002</v>
          </cell>
          <cell r="K206">
            <v>4970.8100000000004</v>
          </cell>
          <cell r="L206">
            <v>5026.6639999999998</v>
          </cell>
          <cell r="M206">
            <v>5082.9930000000004</v>
          </cell>
          <cell r="N206">
            <v>5143.6719999999996</v>
          </cell>
          <cell r="O206">
            <v>5213.3969999999999</v>
          </cell>
          <cell r="P206">
            <v>5296.12</v>
          </cell>
          <cell r="Q206">
            <v>5393.4110000000001</v>
          </cell>
          <cell r="R206">
            <v>5503</v>
          </cell>
          <cell r="S206">
            <v>5618.16</v>
          </cell>
          <cell r="T206">
            <v>5729.4650000000001</v>
          </cell>
          <cell r="U206">
            <v>5829.9579999999996</v>
          </cell>
          <cell r="V206">
            <v>5916.9110000000001</v>
          </cell>
          <cell r="W206">
            <v>5991.6809999999996</v>
          </cell>
          <cell r="X206">
            <v>6056.3580000000002</v>
          </cell>
          <cell r="Y206">
            <v>6114.7190000000001</v>
          </cell>
          <cell r="Z206">
            <v>6169.357</v>
          </cell>
          <cell r="AA206">
            <v>6221.634</v>
          </cell>
          <cell r="AB206">
            <v>6270.1120000000001</v>
          </cell>
          <cell r="AC206">
            <v>6311.4679999999998</v>
          </cell>
          <cell r="AD206">
            <v>6341.0510000000004</v>
          </cell>
          <cell r="AE206">
            <v>6356.1779999999999</v>
          </cell>
          <cell r="AF206">
            <v>6355.2449999999999</v>
          </cell>
          <cell r="AG206">
            <v>6341.2160000000003</v>
          </cell>
          <cell r="AH206">
            <v>6321.5829999999996</v>
          </cell>
          <cell r="AI206">
            <v>6306.5780000000004</v>
          </cell>
          <cell r="AJ206">
            <v>6303.6080000000002</v>
          </cell>
          <cell r="AK206">
            <v>6315.799</v>
          </cell>
          <cell r="AL206">
            <v>6341.3689999999997</v>
          </cell>
          <cell r="AM206">
            <v>6376.7910000000002</v>
          </cell>
          <cell r="AN206">
            <v>6416.2749999999996</v>
          </cell>
          <cell r="AO206">
            <v>6455.68</v>
          </cell>
          <cell r="AP206">
            <v>6493.442</v>
          </cell>
          <cell r="AQ206">
            <v>6531.16</v>
          </cell>
          <cell r="AR206">
            <v>6571.4610000000002</v>
          </cell>
          <cell r="AS206">
            <v>6618.268</v>
          </cell>
          <cell r="AT206">
            <v>6673.92</v>
          </cell>
          <cell r="AU206">
            <v>6739.9949999999999</v>
          </cell>
          <cell r="AV206">
            <v>6814.1859999999997</v>
          </cell>
          <cell r="AW206">
            <v>6890.3</v>
          </cell>
          <cell r="AX206">
            <v>6959.86</v>
          </cell>
          <cell r="AY206">
            <v>7017.0420000000004</v>
          </cell>
          <cell r="AZ206">
            <v>7059.6329999999998</v>
          </cell>
          <cell r="BA206">
            <v>7090.1760000000004</v>
          </cell>
          <cell r="BB206">
            <v>7113.5050000000001</v>
          </cell>
          <cell r="BC206">
            <v>7136.8130000000001</v>
          </cell>
          <cell r="BD206">
            <v>7165.5810000000001</v>
          </cell>
          <cell r="BE206">
            <v>7200.9449999999997</v>
          </cell>
          <cell r="BF206">
            <v>7242.0339999999997</v>
          </cell>
          <cell r="BG206">
            <v>7289.9009999999998</v>
          </cell>
          <cell r="BH206">
            <v>7345.299</v>
          </cell>
          <cell r="BI206">
            <v>7408.6080000000002</v>
          </cell>
          <cell r="BJ206">
            <v>7480.317</v>
          </cell>
          <cell r="BK206">
            <v>7560.1409999999996</v>
          </cell>
          <cell r="BL206">
            <v>7646.5420000000004</v>
          </cell>
          <cell r="BM206">
            <v>7737.3159999999998</v>
          </cell>
          <cell r="BN206">
            <v>7830.5339999999997</v>
          </cell>
          <cell r="BO206">
            <v>7925.8130000000001</v>
          </cell>
          <cell r="BP206">
            <v>8022.6279999999997</v>
          </cell>
          <cell r="BQ206">
            <v>8118.7190000000001</v>
          </cell>
          <cell r="BR206">
            <v>8211.3829999999998</v>
          </cell>
          <cell r="BS206">
            <v>8298.6630000000005</v>
          </cell>
        </row>
        <row r="207">
          <cell r="E207">
            <v>904</v>
          </cell>
          <cell r="F207">
            <v>168843.91099999999</v>
          </cell>
          <cell r="G207">
            <v>173398.06599999999</v>
          </cell>
          <cell r="H207">
            <v>178139.92499999999</v>
          </cell>
          <cell r="I207">
            <v>183034.62100000001</v>
          </cell>
          <cell r="J207">
            <v>188059.59700000001</v>
          </cell>
          <cell r="K207">
            <v>193204.516</v>
          </cell>
          <cell r="L207">
            <v>198472.098</v>
          </cell>
          <cell r="M207">
            <v>203877.315</v>
          </cell>
          <cell r="N207">
            <v>209445.212</v>
          </cell>
          <cell r="O207">
            <v>215207.20499999999</v>
          </cell>
          <cell r="P207">
            <v>221190.054</v>
          </cell>
          <cell r="Q207">
            <v>227404.06400000001</v>
          </cell>
          <cell r="R207">
            <v>233832.77499999999</v>
          </cell>
          <cell r="S207">
            <v>240428.55100000001</v>
          </cell>
          <cell r="T207">
            <v>247125.076</v>
          </cell>
          <cell r="U207">
            <v>253874.245</v>
          </cell>
          <cell r="V207">
            <v>260655.89300000001</v>
          </cell>
          <cell r="W207">
            <v>267481.68099999998</v>
          </cell>
          <cell r="X207">
            <v>274373.97600000002</v>
          </cell>
          <cell r="Y207">
            <v>281369.424</v>
          </cell>
          <cell r="Z207">
            <v>288493.51500000001</v>
          </cell>
          <cell r="AA207">
            <v>295750.00300000003</v>
          </cell>
          <cell r="AB207">
            <v>303125.03700000001</v>
          </cell>
          <cell r="AC207">
            <v>310605.701</v>
          </cell>
          <cell r="AD207">
            <v>318173.01299999998</v>
          </cell>
          <cell r="AE207">
            <v>325812.42700000003</v>
          </cell>
          <cell r="AF207">
            <v>333515.64799999999</v>
          </cell>
          <cell r="AG207">
            <v>341283.48499999999</v>
          </cell>
          <cell r="AH207">
            <v>349120.88199999998</v>
          </cell>
          <cell r="AI207">
            <v>357036.74699999997</v>
          </cell>
          <cell r="AJ207">
            <v>365034.84</v>
          </cell>
          <cell r="AK207">
            <v>373113.76699999999</v>
          </cell>
          <cell r="AL207">
            <v>381261.701</v>
          </cell>
          <cell r="AM207">
            <v>389459.08299999998</v>
          </cell>
          <cell r="AN207">
            <v>397680.64000000001</v>
          </cell>
          <cell r="AO207">
            <v>405906.17</v>
          </cell>
          <cell r="AP207">
            <v>414126.00099999999</v>
          </cell>
          <cell r="AQ207">
            <v>422337.56800000003</v>
          </cell>
          <cell r="AR207">
            <v>430536.57</v>
          </cell>
          <cell r="AS207">
            <v>438721.09299999999</v>
          </cell>
          <cell r="AT207">
            <v>446888.76699999999</v>
          </cell>
          <cell r="AU207">
            <v>455030.31199999998</v>
          </cell>
          <cell r="AV207">
            <v>463139.52100000001</v>
          </cell>
          <cell r="AW207">
            <v>471220.79800000001</v>
          </cell>
          <cell r="AX207">
            <v>479282.04599999997</v>
          </cell>
          <cell r="AY207">
            <v>487325.92700000003</v>
          </cell>
          <cell r="AZ207">
            <v>495357.342</v>
          </cell>
          <cell r="BA207">
            <v>503364.995</v>
          </cell>
          <cell r="BB207">
            <v>511316.20299999998</v>
          </cell>
          <cell r="BC207">
            <v>519167.67499999999</v>
          </cell>
          <cell r="BD207">
            <v>526889.94799999997</v>
          </cell>
          <cell r="BE207">
            <v>534467.72100000002</v>
          </cell>
          <cell r="BF207">
            <v>541913.27500000002</v>
          </cell>
          <cell r="BG207">
            <v>549258.80200000003</v>
          </cell>
          <cell r="BH207">
            <v>556551.59900000005</v>
          </cell>
          <cell r="BI207">
            <v>563825.875</v>
          </cell>
          <cell r="BJ207">
            <v>571089.27500000002</v>
          </cell>
          <cell r="BK207">
            <v>578330.64500000002</v>
          </cell>
          <cell r="BL207">
            <v>585542.34600000002</v>
          </cell>
          <cell r="BM207">
            <v>592710.44099999999</v>
          </cell>
          <cell r="BN207">
            <v>599822.99600000004</v>
          </cell>
          <cell r="BO207">
            <v>606877.93700000003</v>
          </cell>
          <cell r="BP207">
            <v>613873.88199999998</v>
          </cell>
          <cell r="BQ207">
            <v>620799.45600000001</v>
          </cell>
          <cell r="BR207">
            <v>627640.85199999996</v>
          </cell>
          <cell r="BS207">
            <v>634386.56700000004</v>
          </cell>
        </row>
        <row r="208">
          <cell r="E208">
            <v>915</v>
          </cell>
          <cell r="F208">
            <v>17075.653999999999</v>
          </cell>
          <cell r="G208">
            <v>17395.588</v>
          </cell>
          <cell r="H208">
            <v>17734.661</v>
          </cell>
          <cell r="I208">
            <v>18084.574000000001</v>
          </cell>
          <cell r="J208">
            <v>18439.852999999999</v>
          </cell>
          <cell r="K208">
            <v>18797.823</v>
          </cell>
          <cell r="L208">
            <v>19158.823</v>
          </cell>
          <cell r="M208">
            <v>19526.002</v>
          </cell>
          <cell r="N208">
            <v>19904.842000000001</v>
          </cell>
          <cell r="O208">
            <v>20302.317999999999</v>
          </cell>
          <cell r="P208">
            <v>20724.432000000001</v>
          </cell>
          <cell r="Q208">
            <v>21173.579000000002</v>
          </cell>
          <cell r="R208">
            <v>21646.214</v>
          </cell>
          <cell r="S208">
            <v>22131.875</v>
          </cell>
          <cell r="T208">
            <v>22615.98</v>
          </cell>
          <cell r="U208">
            <v>23088.124</v>
          </cell>
          <cell r="V208">
            <v>23543.508000000002</v>
          </cell>
          <cell r="W208">
            <v>23985.1</v>
          </cell>
          <cell r="X208">
            <v>24419.591</v>
          </cell>
          <cell r="Y208">
            <v>24857.371999999999</v>
          </cell>
          <cell r="Z208">
            <v>25305.561000000002</v>
          </cell>
          <cell r="AA208">
            <v>25766.583999999999</v>
          </cell>
          <cell r="AB208">
            <v>26236.670999999998</v>
          </cell>
          <cell r="AC208">
            <v>26709.395</v>
          </cell>
          <cell r="AD208">
            <v>27175.538</v>
          </cell>
          <cell r="AE208">
            <v>27628.678</v>
          </cell>
          <cell r="AF208">
            <v>28066.761999999999</v>
          </cell>
          <cell r="AG208">
            <v>28492.607</v>
          </cell>
          <cell r="AH208">
            <v>28910.643</v>
          </cell>
          <cell r="AI208">
            <v>29327.505000000001</v>
          </cell>
          <cell r="AJ208">
            <v>29748.212</v>
          </cell>
          <cell r="AK208">
            <v>30173.536</v>
          </cell>
          <cell r="AL208">
            <v>30602.452000000001</v>
          </cell>
          <cell r="AM208">
            <v>31035.977999999999</v>
          </cell>
          <cell r="AN208">
            <v>31474.937000000002</v>
          </cell>
          <cell r="AO208">
            <v>31919.598999999998</v>
          </cell>
          <cell r="AP208">
            <v>32370.425999999999</v>
          </cell>
          <cell r="AQ208">
            <v>32826.631999999998</v>
          </cell>
          <cell r="AR208">
            <v>33285.538</v>
          </cell>
          <cell r="AS208">
            <v>33743.519999999997</v>
          </cell>
          <cell r="AT208">
            <v>34197.595000000001</v>
          </cell>
          <cell r="AU208">
            <v>34646.741999999998</v>
          </cell>
          <cell r="AV208">
            <v>35090.589</v>
          </cell>
          <cell r="AW208">
            <v>35527.572</v>
          </cell>
          <cell r="AX208">
            <v>35956.082000000002</v>
          </cell>
          <cell r="AY208">
            <v>36374.921000000002</v>
          </cell>
          <cell r="AZ208">
            <v>36783.345000000001</v>
          </cell>
          <cell r="BA208">
            <v>37181.160000000003</v>
          </cell>
          <cell r="BB208">
            <v>37568.521000000001</v>
          </cell>
          <cell r="BC208">
            <v>37945.896000000001</v>
          </cell>
          <cell r="BD208">
            <v>38313.82</v>
          </cell>
          <cell r="BE208">
            <v>38672.417000000001</v>
          </cell>
          <cell r="BF208">
            <v>39022.012000000002</v>
          </cell>
          <cell r="BG208">
            <v>39363.641000000003</v>
          </cell>
          <cell r="BH208">
            <v>39698.642999999996</v>
          </cell>
          <cell r="BI208">
            <v>40028.199000000001</v>
          </cell>
          <cell r="BJ208">
            <v>40352.226000000002</v>
          </cell>
          <cell r="BK208">
            <v>40671.156000000003</v>
          </cell>
          <cell r="BL208">
            <v>40987.22</v>
          </cell>
          <cell r="BM208">
            <v>41303.22</v>
          </cell>
          <cell r="BN208">
            <v>41620.898999999998</v>
          </cell>
          <cell r="BO208">
            <v>41941.463000000003</v>
          </cell>
          <cell r="BP208">
            <v>42263.722999999998</v>
          </cell>
          <cell r="BQ208">
            <v>42583.989000000001</v>
          </cell>
          <cell r="BR208">
            <v>42897.105000000003</v>
          </cell>
          <cell r="BS208">
            <v>43199.296999999999</v>
          </cell>
        </row>
        <row r="209">
          <cell r="E209">
            <v>660</v>
          </cell>
          <cell r="F209">
            <v>5.1210000000000004</v>
          </cell>
          <cell r="G209">
            <v>5.2969999999999997</v>
          </cell>
          <cell r="H209">
            <v>5.4379999999999997</v>
          </cell>
          <cell r="I209">
            <v>5.5490000000000004</v>
          </cell>
          <cell r="J209">
            <v>5.6349999999999998</v>
          </cell>
          <cell r="K209">
            <v>5.6970000000000001</v>
          </cell>
          <cell r="L209">
            <v>5.7430000000000003</v>
          </cell>
          <cell r="M209">
            <v>5.7770000000000001</v>
          </cell>
          <cell r="N209">
            <v>5.8049999999999997</v>
          </cell>
          <cell r="O209">
            <v>5.8310000000000004</v>
          </cell>
          <cell r="P209">
            <v>5.8630000000000004</v>
          </cell>
          <cell r="Q209">
            <v>5.9009999999999998</v>
          </cell>
          <cell r="R209">
            <v>5.9480000000000004</v>
          </cell>
          <cell r="S209">
            <v>6.0010000000000003</v>
          </cell>
          <cell r="T209">
            <v>6.0570000000000004</v>
          </cell>
          <cell r="U209">
            <v>6.1139999999999999</v>
          </cell>
          <cell r="V209">
            <v>6.1710000000000003</v>
          </cell>
          <cell r="W209">
            <v>6.2279999999999998</v>
          </cell>
          <cell r="X209">
            <v>6.2869999999999999</v>
          </cell>
          <cell r="Y209">
            <v>6.3440000000000003</v>
          </cell>
          <cell r="Z209">
            <v>6.4</v>
          </cell>
          <cell r="AA209">
            <v>6.4539999999999997</v>
          </cell>
          <cell r="AB209">
            <v>6.5060000000000002</v>
          </cell>
          <cell r="AC209">
            <v>6.5540000000000003</v>
          </cell>
          <cell r="AD209">
            <v>6.5960000000000001</v>
          </cell>
          <cell r="AE209">
            <v>6.63</v>
          </cell>
          <cell r="AF209">
            <v>6.6609999999999996</v>
          </cell>
          <cell r="AG209">
            <v>6.6909999999999998</v>
          </cell>
          <cell r="AH209">
            <v>6.7119999999999997</v>
          </cell>
          <cell r="AI209">
            <v>6.7149999999999999</v>
          </cell>
          <cell r="AJ209">
            <v>6.6980000000000004</v>
          </cell>
          <cell r="AK209">
            <v>6.6520000000000001</v>
          </cell>
          <cell r="AL209">
            <v>6.5869999999999997</v>
          </cell>
          <cell r="AM209">
            <v>6.5369999999999999</v>
          </cell>
          <cell r="AN209">
            <v>6.5510000000000002</v>
          </cell>
          <cell r="AO209">
            <v>6.6619999999999999</v>
          </cell>
          <cell r="AP209">
            <v>6.883</v>
          </cell>
          <cell r="AQ209">
            <v>7.1980000000000004</v>
          </cell>
          <cell r="AR209">
            <v>7.5759999999999996</v>
          </cell>
          <cell r="AS209">
            <v>7.9660000000000002</v>
          </cell>
          <cell r="AT209">
            <v>8.3339999999999996</v>
          </cell>
          <cell r="AU209">
            <v>8.6679999999999993</v>
          </cell>
          <cell r="AV209">
            <v>8.9789999999999992</v>
          </cell>
          <cell r="AW209">
            <v>9.266</v>
          </cell>
          <cell r="AX209">
            <v>9.5399999999999991</v>
          </cell>
          <cell r="AY209">
            <v>9.8070000000000004</v>
          </cell>
          <cell r="AZ209">
            <v>10.063000000000001</v>
          </cell>
          <cell r="BA209">
            <v>10.305</v>
          </cell>
          <cell r="BB209">
            <v>10.545</v>
          </cell>
          <cell r="BC209">
            <v>10.797000000000001</v>
          </cell>
          <cell r="BD209">
            <v>11.071</v>
          </cell>
          <cell r="BE209">
            <v>11.371</v>
          </cell>
          <cell r="BF209">
            <v>11.693</v>
          </cell>
          <cell r="BG209">
            <v>12.023</v>
          </cell>
          <cell r="BH209">
            <v>12.342000000000001</v>
          </cell>
          <cell r="BI209">
            <v>12.637</v>
          </cell>
          <cell r="BJ209">
            <v>12.903</v>
          </cell>
          <cell r="BK209">
            <v>13.145</v>
          </cell>
          <cell r="BL209">
            <v>13.365</v>
          </cell>
          <cell r="BM209">
            <v>13.571</v>
          </cell>
          <cell r="BN209">
            <v>13.768000000000001</v>
          </cell>
          <cell r="BO209">
            <v>13.956</v>
          </cell>
          <cell r="BP209">
            <v>14.132999999999999</v>
          </cell>
          <cell r="BQ209">
            <v>14.3</v>
          </cell>
          <cell r="BR209">
            <v>14.46</v>
          </cell>
          <cell r="BS209">
            <v>14.614000000000001</v>
          </cell>
        </row>
        <row r="210">
          <cell r="E210">
            <v>28</v>
          </cell>
          <cell r="F210">
            <v>46.301000000000002</v>
          </cell>
          <cell r="G210">
            <v>48.305999999999997</v>
          </cell>
          <cell r="H210">
            <v>49.887</v>
          </cell>
          <cell r="I210">
            <v>51.091999999999999</v>
          </cell>
          <cell r="J210">
            <v>51.978999999999999</v>
          </cell>
          <cell r="K210">
            <v>52.610999999999997</v>
          </cell>
          <cell r="L210">
            <v>53.061999999999998</v>
          </cell>
          <cell r="M210">
            <v>53.411000000000001</v>
          </cell>
          <cell r="N210">
            <v>53.744</v>
          </cell>
          <cell r="O210">
            <v>54.143000000000001</v>
          </cell>
          <cell r="P210">
            <v>54.680999999999997</v>
          </cell>
          <cell r="Q210">
            <v>55.402999999999999</v>
          </cell>
          <cell r="R210">
            <v>56.311</v>
          </cell>
          <cell r="S210">
            <v>57.368000000000002</v>
          </cell>
          <cell r="T210">
            <v>58.5</v>
          </cell>
          <cell r="U210">
            <v>59.652999999999999</v>
          </cell>
          <cell r="V210">
            <v>60.817999999999998</v>
          </cell>
          <cell r="W210">
            <v>62.002000000000002</v>
          </cell>
          <cell r="X210">
            <v>63.176000000000002</v>
          </cell>
          <cell r="Y210">
            <v>64.307000000000002</v>
          </cell>
          <cell r="Z210">
            <v>65.369</v>
          </cell>
          <cell r="AA210">
            <v>66.337999999999994</v>
          </cell>
          <cell r="AB210">
            <v>67.204999999999998</v>
          </cell>
          <cell r="AC210">
            <v>67.971999999999994</v>
          </cell>
          <cell r="AD210">
            <v>68.655000000000001</v>
          </cell>
          <cell r="AE210">
            <v>69.253</v>
          </cell>
          <cell r="AF210">
            <v>69.781999999999996</v>
          </cell>
          <cell r="AG210">
            <v>70.222999999999999</v>
          </cell>
          <cell r="AH210">
            <v>70.507999999999996</v>
          </cell>
          <cell r="AI210">
            <v>70.552999999999997</v>
          </cell>
          <cell r="AJ210">
            <v>70.301000000000002</v>
          </cell>
          <cell r="AK210">
            <v>69.75</v>
          </cell>
          <cell r="AL210">
            <v>68.95</v>
          </cell>
          <cell r="AM210">
            <v>67.957999999999998</v>
          </cell>
          <cell r="AN210">
            <v>66.863</v>
          </cell>
          <cell r="AO210">
            <v>65.744</v>
          </cell>
          <cell r="AP210">
            <v>64.605000000000004</v>
          </cell>
          <cell r="AQ210">
            <v>63.484000000000002</v>
          </cell>
          <cell r="AR210">
            <v>62.537999999999997</v>
          </cell>
          <cell r="AS210">
            <v>61.966999999999999</v>
          </cell>
          <cell r="AT210">
            <v>61.905999999999999</v>
          </cell>
          <cell r="AU210">
            <v>62.411999999999999</v>
          </cell>
          <cell r="AV210">
            <v>63.433999999999997</v>
          </cell>
          <cell r="AW210">
            <v>64.867999999999995</v>
          </cell>
          <cell r="AX210">
            <v>66.55</v>
          </cell>
          <cell r="AY210">
            <v>68.349000000000004</v>
          </cell>
          <cell r="AZ210">
            <v>70.245000000000005</v>
          </cell>
          <cell r="BA210">
            <v>72.231999999999999</v>
          </cell>
          <cell r="BB210">
            <v>74.206000000000003</v>
          </cell>
          <cell r="BC210">
            <v>76.040999999999997</v>
          </cell>
          <cell r="BD210">
            <v>77.647999999999996</v>
          </cell>
          <cell r="BE210">
            <v>78.971999999999994</v>
          </cell>
          <cell r="BF210">
            <v>80.03</v>
          </cell>
          <cell r="BG210">
            <v>80.903999999999996</v>
          </cell>
          <cell r="BH210">
            <v>81.718000000000004</v>
          </cell>
          <cell r="BI210">
            <v>82.564999999999998</v>
          </cell>
          <cell r="BJ210">
            <v>83.466999999999999</v>
          </cell>
          <cell r="BK210">
            <v>84.397000000000006</v>
          </cell>
          <cell r="BL210">
            <v>85.35</v>
          </cell>
          <cell r="BM210">
            <v>86.3</v>
          </cell>
          <cell r="BN210">
            <v>87.233000000000004</v>
          </cell>
          <cell r="BO210">
            <v>88.152000000000001</v>
          </cell>
          <cell r="BP210">
            <v>89.069000000000003</v>
          </cell>
          <cell r="BQ210">
            <v>89.984999999999999</v>
          </cell>
          <cell r="BR210">
            <v>90.9</v>
          </cell>
          <cell r="BS210">
            <v>91.817999999999998</v>
          </cell>
        </row>
        <row r="211">
          <cell r="E211">
            <v>533</v>
          </cell>
          <cell r="F211">
            <v>38.066000000000003</v>
          </cell>
          <cell r="G211">
            <v>38.262999999999998</v>
          </cell>
          <cell r="H211">
            <v>38.965000000000003</v>
          </cell>
          <cell r="I211">
            <v>40.149000000000001</v>
          </cell>
          <cell r="J211">
            <v>41.762999999999998</v>
          </cell>
          <cell r="K211">
            <v>43.726999999999997</v>
          </cell>
          <cell r="L211">
            <v>45.933</v>
          </cell>
          <cell r="M211">
            <v>48.241999999999997</v>
          </cell>
          <cell r="N211">
            <v>50.499000000000002</v>
          </cell>
          <cell r="O211">
            <v>52.534999999999997</v>
          </cell>
          <cell r="P211">
            <v>54.207999999999998</v>
          </cell>
          <cell r="Q211">
            <v>55.435000000000002</v>
          </cell>
          <cell r="R211">
            <v>56.225999999999999</v>
          </cell>
          <cell r="S211">
            <v>56.697000000000003</v>
          </cell>
          <cell r="T211">
            <v>57.029000000000003</v>
          </cell>
          <cell r="U211">
            <v>57.36</v>
          </cell>
          <cell r="V211">
            <v>57.712000000000003</v>
          </cell>
          <cell r="W211">
            <v>58.048999999999999</v>
          </cell>
          <cell r="X211">
            <v>58.384999999999998</v>
          </cell>
          <cell r="Y211">
            <v>58.723999999999997</v>
          </cell>
          <cell r="Z211">
            <v>59.064999999999998</v>
          </cell>
          <cell r="AA211">
            <v>59.438000000000002</v>
          </cell>
          <cell r="AB211">
            <v>59.848999999999997</v>
          </cell>
          <cell r="AC211">
            <v>60.238999999999997</v>
          </cell>
          <cell r="AD211">
            <v>60.524999999999999</v>
          </cell>
          <cell r="AE211">
            <v>60.655000000000001</v>
          </cell>
          <cell r="AF211">
            <v>60.588999999999999</v>
          </cell>
          <cell r="AG211">
            <v>60.366</v>
          </cell>
          <cell r="AH211">
            <v>60.106000000000002</v>
          </cell>
          <cell r="AI211">
            <v>59.978000000000002</v>
          </cell>
          <cell r="AJ211">
            <v>60.095999999999997</v>
          </cell>
          <cell r="AK211">
            <v>60.567</v>
          </cell>
          <cell r="AL211">
            <v>61.344000000000001</v>
          </cell>
          <cell r="AM211">
            <v>62.204000000000001</v>
          </cell>
          <cell r="AN211">
            <v>62.831000000000003</v>
          </cell>
          <cell r="AO211">
            <v>63.027999999999999</v>
          </cell>
          <cell r="AP211">
            <v>62.643999999999998</v>
          </cell>
          <cell r="AQ211">
            <v>61.835000000000001</v>
          </cell>
          <cell r="AR211">
            <v>61.076999999999998</v>
          </cell>
          <cell r="AS211">
            <v>61.031999999999996</v>
          </cell>
          <cell r="AT211">
            <v>62.148000000000003</v>
          </cell>
          <cell r="AU211">
            <v>64.623000000000005</v>
          </cell>
          <cell r="AV211">
            <v>68.234999999999999</v>
          </cell>
          <cell r="AW211">
            <v>72.498000000000005</v>
          </cell>
          <cell r="AX211">
            <v>76.7</v>
          </cell>
          <cell r="AY211">
            <v>80.325999999999993</v>
          </cell>
          <cell r="AZ211">
            <v>83.194999999999993</v>
          </cell>
          <cell r="BA211">
            <v>85.447000000000003</v>
          </cell>
          <cell r="BB211">
            <v>87.275999999999996</v>
          </cell>
          <cell r="BC211">
            <v>89.004000000000005</v>
          </cell>
          <cell r="BD211">
            <v>90.858000000000004</v>
          </cell>
          <cell r="BE211">
            <v>92.894000000000005</v>
          </cell>
          <cell r="BF211">
            <v>94.995000000000005</v>
          </cell>
          <cell r="BG211">
            <v>97.015000000000001</v>
          </cell>
          <cell r="BH211">
            <v>98.742000000000004</v>
          </cell>
          <cell r="BI211">
            <v>100.03100000000001</v>
          </cell>
          <cell r="BJ211">
            <v>100.83</v>
          </cell>
          <cell r="BK211">
            <v>101.218</v>
          </cell>
          <cell r="BL211">
            <v>101.342</v>
          </cell>
          <cell r="BM211">
            <v>101.416</v>
          </cell>
          <cell r="BN211">
            <v>101.59699999999999</v>
          </cell>
          <cell r="BO211">
            <v>101.93600000000001</v>
          </cell>
          <cell r="BP211">
            <v>102.393</v>
          </cell>
          <cell r="BQ211">
            <v>102.92100000000001</v>
          </cell>
          <cell r="BR211">
            <v>103.441</v>
          </cell>
          <cell r="BS211">
            <v>103.889</v>
          </cell>
        </row>
        <row r="212">
          <cell r="E212">
            <v>44</v>
          </cell>
          <cell r="F212">
            <v>79.087999999999994</v>
          </cell>
          <cell r="G212">
            <v>79.983999999999995</v>
          </cell>
          <cell r="H212">
            <v>81.427999999999997</v>
          </cell>
          <cell r="I212">
            <v>83.370999999999995</v>
          </cell>
          <cell r="J212">
            <v>85.775999999999996</v>
          </cell>
          <cell r="K212">
            <v>88.619</v>
          </cell>
          <cell r="L212">
            <v>91.893000000000001</v>
          </cell>
          <cell r="M212">
            <v>95.603999999999999</v>
          </cell>
          <cell r="N212">
            <v>99.766999999999996</v>
          </cell>
          <cell r="O212">
            <v>104.40600000000001</v>
          </cell>
          <cell r="P212">
            <v>109.526</v>
          </cell>
          <cell r="Q212">
            <v>115.108</v>
          </cell>
          <cell r="R212">
            <v>121.083</v>
          </cell>
          <cell r="S212">
            <v>127.331</v>
          </cell>
          <cell r="T212">
            <v>133.697</v>
          </cell>
          <cell r="U212">
            <v>140.04900000000001</v>
          </cell>
          <cell r="V212">
            <v>146.364</v>
          </cell>
          <cell r="W212">
            <v>152.607</v>
          </cell>
          <cell r="X212">
            <v>158.62899999999999</v>
          </cell>
          <cell r="Y212">
            <v>164.25</v>
          </cell>
          <cell r="Z212">
            <v>169.35599999999999</v>
          </cell>
          <cell r="AA212">
            <v>173.86699999999999</v>
          </cell>
          <cell r="AB212">
            <v>177.84399999999999</v>
          </cell>
          <cell r="AC212">
            <v>181.489</v>
          </cell>
          <cell r="AD212">
            <v>185.09700000000001</v>
          </cell>
          <cell r="AE212">
            <v>188.88200000000001</v>
          </cell>
          <cell r="AF212">
            <v>192.905</v>
          </cell>
          <cell r="AG212">
            <v>197.11799999999999</v>
          </cell>
          <cell r="AH212">
            <v>201.511</v>
          </cell>
          <cell r="AI212">
            <v>206.03800000000001</v>
          </cell>
          <cell r="AJ212">
            <v>210.66</v>
          </cell>
          <cell r="AK212">
            <v>215.404</v>
          </cell>
          <cell r="AL212">
            <v>220.27500000000001</v>
          </cell>
          <cell r="AM212">
            <v>225.185</v>
          </cell>
          <cell r="AN212">
            <v>230.01599999999999</v>
          </cell>
          <cell r="AO212">
            <v>234.684</v>
          </cell>
          <cell r="AP212">
            <v>239.13200000000001</v>
          </cell>
          <cell r="AQ212">
            <v>243.39099999999999</v>
          </cell>
          <cell r="AR212">
            <v>247.57599999999999</v>
          </cell>
          <cell r="AS212">
            <v>251.85499999999999</v>
          </cell>
          <cell r="AT212">
            <v>256.33800000000002</v>
          </cell>
          <cell r="AU212">
            <v>261.11700000000002</v>
          </cell>
          <cell r="AV212">
            <v>266.13299999999998</v>
          </cell>
          <cell r="AW212">
            <v>271.16500000000002</v>
          </cell>
          <cell r="AX212">
            <v>275.90300000000002</v>
          </cell>
          <cell r="AY212">
            <v>280.15100000000001</v>
          </cell>
          <cell r="AZ212">
            <v>283.79199999999997</v>
          </cell>
          <cell r="BA212">
            <v>286.96800000000002</v>
          </cell>
          <cell r="BB212">
            <v>290.05399999999997</v>
          </cell>
          <cell r="BC212">
            <v>293.572</v>
          </cell>
          <cell r="BD212">
            <v>297.89100000000002</v>
          </cell>
          <cell r="BE212">
            <v>303.13799999999998</v>
          </cell>
          <cell r="BF212">
            <v>309.17</v>
          </cell>
          <cell r="BG212">
            <v>315.75700000000001</v>
          </cell>
          <cell r="BH212">
            <v>322.53899999999999</v>
          </cell>
          <cell r="BI212">
            <v>329.24299999999999</v>
          </cell>
          <cell r="BJ212">
            <v>335.80099999999999</v>
          </cell>
          <cell r="BK212">
            <v>342.25900000000001</v>
          </cell>
          <cell r="BL212">
            <v>348.58699999999999</v>
          </cell>
          <cell r="BM212">
            <v>354.78</v>
          </cell>
          <cell r="BN212">
            <v>360.83</v>
          </cell>
          <cell r="BO212">
            <v>366.71100000000001</v>
          </cell>
          <cell r="BP212">
            <v>372.38799999999998</v>
          </cell>
          <cell r="BQ212">
            <v>377.84100000000001</v>
          </cell>
          <cell r="BR212">
            <v>383.05399999999997</v>
          </cell>
          <cell r="BS212">
            <v>388.01900000000001</v>
          </cell>
        </row>
        <row r="213">
          <cell r="E213">
            <v>52</v>
          </cell>
          <cell r="F213">
            <v>210.995</v>
          </cell>
          <cell r="G213">
            <v>215.70400000000001</v>
          </cell>
          <cell r="H213">
            <v>219.636</v>
          </cell>
          <cell r="I213">
            <v>222.80799999999999</v>
          </cell>
          <cell r="J213">
            <v>225.26300000000001</v>
          </cell>
          <cell r="K213">
            <v>227.07599999999999</v>
          </cell>
          <cell r="L213">
            <v>228.34899999999999</v>
          </cell>
          <cell r="M213">
            <v>229.214</v>
          </cell>
          <cell r="N213">
            <v>229.82599999999999</v>
          </cell>
          <cell r="O213">
            <v>230.35</v>
          </cell>
          <cell r="P213">
            <v>230.934</v>
          </cell>
          <cell r="Q213">
            <v>231.67400000000001</v>
          </cell>
          <cell r="R213">
            <v>232.584</v>
          </cell>
          <cell r="S213">
            <v>233.58699999999999</v>
          </cell>
          <cell r="T213">
            <v>234.547</v>
          </cell>
          <cell r="U213">
            <v>235.37299999999999</v>
          </cell>
          <cell r="V213">
            <v>236.04300000000001</v>
          </cell>
          <cell r="W213">
            <v>236.62</v>
          </cell>
          <cell r="X213">
            <v>237.19900000000001</v>
          </cell>
          <cell r="Y213">
            <v>237.911</v>
          </cell>
          <cell r="Z213">
            <v>238.84700000000001</v>
          </cell>
          <cell r="AA213">
            <v>240.03800000000001</v>
          </cell>
          <cell r="AB213">
            <v>241.441</v>
          </cell>
          <cell r="AC213">
            <v>242.98</v>
          </cell>
          <cell r="AD213">
            <v>244.53899999999999</v>
          </cell>
          <cell r="AE213">
            <v>246.03299999999999</v>
          </cell>
          <cell r="AF213">
            <v>247.44399999999999</v>
          </cell>
          <cell r="AG213">
            <v>248.785</v>
          </cell>
          <cell r="AH213">
            <v>250.035</v>
          </cell>
          <cell r="AI213">
            <v>251.17599999999999</v>
          </cell>
          <cell r="AJ213">
            <v>252.197</v>
          </cell>
          <cell r="AK213">
            <v>253.08</v>
          </cell>
          <cell r="AL213">
            <v>253.83600000000001</v>
          </cell>
          <cell r="AM213">
            <v>254.51499999999999</v>
          </cell>
          <cell r="AN213">
            <v>255.19499999999999</v>
          </cell>
          <cell r="AO213">
            <v>255.929</v>
          </cell>
          <cell r="AP213">
            <v>256.738</v>
          </cell>
          <cell r="AQ213">
            <v>257.60899999999998</v>
          </cell>
          <cell r="AR213">
            <v>258.524</v>
          </cell>
          <cell r="AS213">
            <v>259.45400000000001</v>
          </cell>
          <cell r="AT213">
            <v>260.37400000000002</v>
          </cell>
          <cell r="AU213">
            <v>261.28100000000001</v>
          </cell>
          <cell r="AV213">
            <v>262.18400000000003</v>
          </cell>
          <cell r="AW213">
            <v>263.09100000000001</v>
          </cell>
          <cell r="AX213">
            <v>264.01499999999999</v>
          </cell>
          <cell r="AY213">
            <v>264.96199999999999</v>
          </cell>
          <cell r="AZ213">
            <v>265.94</v>
          </cell>
          <cell r="BA213">
            <v>266.94400000000002</v>
          </cell>
          <cell r="BB213">
            <v>267.94900000000001</v>
          </cell>
          <cell r="BC213">
            <v>268.92</v>
          </cell>
          <cell r="BD213">
            <v>269.83800000000002</v>
          </cell>
          <cell r="BE213">
            <v>270.68599999999998</v>
          </cell>
          <cell r="BF213">
            <v>271.47899999999998</v>
          </cell>
          <cell r="BG213">
            <v>272.26100000000002</v>
          </cell>
          <cell r="BH213">
            <v>273.09100000000001</v>
          </cell>
          <cell r="BI213">
            <v>274.01299999999998</v>
          </cell>
          <cell r="BJ213">
            <v>275.04000000000002</v>
          </cell>
          <cell r="BK213">
            <v>276.154</v>
          </cell>
          <cell r="BL213">
            <v>277.315</v>
          </cell>
          <cell r="BM213">
            <v>278.46600000000001</v>
          </cell>
          <cell r="BN213">
            <v>279.56599999999997</v>
          </cell>
          <cell r="BO213">
            <v>280.60199999999998</v>
          </cell>
          <cell r="BP213">
            <v>281.58</v>
          </cell>
          <cell r="BQ213">
            <v>282.50299999999999</v>
          </cell>
          <cell r="BR213">
            <v>283.38</v>
          </cell>
          <cell r="BS213">
            <v>284.21499999999997</v>
          </cell>
        </row>
        <row r="214">
          <cell r="E214">
            <v>92</v>
          </cell>
          <cell r="F214">
            <v>7.4409999999999998</v>
          </cell>
          <cell r="G214">
            <v>7.5090000000000003</v>
          </cell>
          <cell r="H214">
            <v>7.5609999999999999</v>
          </cell>
          <cell r="I214">
            <v>7.6050000000000004</v>
          </cell>
          <cell r="J214">
            <v>7.6449999999999996</v>
          </cell>
          <cell r="K214">
            <v>7.6849999999999996</v>
          </cell>
          <cell r="L214">
            <v>7.73</v>
          </cell>
          <cell r="M214">
            <v>7.7850000000000001</v>
          </cell>
          <cell r="N214">
            <v>7.8520000000000003</v>
          </cell>
          <cell r="O214">
            <v>7.9349999999999996</v>
          </cell>
          <cell r="P214">
            <v>8.0359999999999996</v>
          </cell>
          <cell r="Q214">
            <v>8.157</v>
          </cell>
          <cell r="R214">
            <v>8.298</v>
          </cell>
          <cell r="S214">
            <v>8.4550000000000001</v>
          </cell>
          <cell r="T214">
            <v>8.6280000000000001</v>
          </cell>
          <cell r="U214">
            <v>8.8130000000000006</v>
          </cell>
          <cell r="V214">
            <v>9.0090000000000003</v>
          </cell>
          <cell r="W214">
            <v>9.2140000000000004</v>
          </cell>
          <cell r="X214">
            <v>9.4220000000000006</v>
          </cell>
          <cell r="Y214">
            <v>9.6199999999999992</v>
          </cell>
          <cell r="Z214">
            <v>9.8019999999999996</v>
          </cell>
          <cell r="AA214">
            <v>9.9689999999999994</v>
          </cell>
          <cell r="AB214">
            <v>10.125</v>
          </cell>
          <cell r="AC214">
            <v>10.263</v>
          </cell>
          <cell r="AD214">
            <v>10.38</v>
          </cell>
          <cell r="AE214">
            <v>10.476000000000001</v>
          </cell>
          <cell r="AF214">
            <v>10.544</v>
          </cell>
          <cell r="AG214">
            <v>10.596</v>
          </cell>
          <cell r="AH214">
            <v>10.663</v>
          </cell>
          <cell r="AI214">
            <v>10.788</v>
          </cell>
          <cell r="AJ214">
            <v>11.003</v>
          </cell>
          <cell r="AK214">
            <v>11.316000000000001</v>
          </cell>
          <cell r="AL214">
            <v>11.715</v>
          </cell>
          <cell r="AM214">
            <v>12.192</v>
          </cell>
          <cell r="AN214">
            <v>12.728999999999999</v>
          </cell>
          <cell r="AO214">
            <v>13.308</v>
          </cell>
          <cell r="AP214">
            <v>13.932</v>
          </cell>
          <cell r="AQ214">
            <v>14.595000000000001</v>
          </cell>
          <cell r="AR214">
            <v>15.265000000000001</v>
          </cell>
          <cell r="AS214">
            <v>15.896000000000001</v>
          </cell>
          <cell r="AT214">
            <v>16.459</v>
          </cell>
          <cell r="AU214">
            <v>16.937000000000001</v>
          </cell>
          <cell r="AV214">
            <v>17.343</v>
          </cell>
          <cell r="AW214">
            <v>17.7</v>
          </cell>
          <cell r="AX214">
            <v>18.050999999999998</v>
          </cell>
          <cell r="AY214">
            <v>18.425000000000001</v>
          </cell>
          <cell r="AZ214">
            <v>18.834</v>
          </cell>
          <cell r="BA214">
            <v>19.27</v>
          </cell>
          <cell r="BB214">
            <v>19.725999999999999</v>
          </cell>
          <cell r="BC214">
            <v>20.186</v>
          </cell>
          <cell r="BD214">
            <v>20.643000000000001</v>
          </cell>
          <cell r="BE214">
            <v>21.087</v>
          </cell>
          <cell r="BF214">
            <v>21.53</v>
          </cell>
          <cell r="BG214">
            <v>22</v>
          </cell>
          <cell r="BH214">
            <v>22.538</v>
          </cell>
          <cell r="BI214">
            <v>23.169</v>
          </cell>
          <cell r="BJ214">
            <v>23.908000000000001</v>
          </cell>
          <cell r="BK214">
            <v>24.734999999999999</v>
          </cell>
          <cell r="BL214">
            <v>25.603999999999999</v>
          </cell>
          <cell r="BM214">
            <v>26.45</v>
          </cell>
          <cell r="BN214">
            <v>27.222999999999999</v>
          </cell>
          <cell r="BO214">
            <v>27.905999999999999</v>
          </cell>
          <cell r="BP214">
            <v>28.510999999999999</v>
          </cell>
          <cell r="BQ214">
            <v>29.058</v>
          </cell>
          <cell r="BR214">
            <v>29.585000000000001</v>
          </cell>
          <cell r="BS214">
            <v>30.117000000000001</v>
          </cell>
        </row>
        <row r="215">
          <cell r="E215">
            <v>535</v>
          </cell>
          <cell r="F215">
            <v>7.1230000000000002</v>
          </cell>
          <cell r="G215">
            <v>7.2949999999999999</v>
          </cell>
          <cell r="H215">
            <v>7.4279999999999999</v>
          </cell>
          <cell r="I215">
            <v>7.5289999999999999</v>
          </cell>
          <cell r="J215">
            <v>7.6070000000000002</v>
          </cell>
          <cell r="K215">
            <v>7.6689999999999996</v>
          </cell>
          <cell r="L215">
            <v>7.7249999999999996</v>
          </cell>
          <cell r="M215">
            <v>7.7839999999999998</v>
          </cell>
          <cell r="N215">
            <v>7.8570000000000002</v>
          </cell>
          <cell r="O215">
            <v>7.952</v>
          </cell>
          <cell r="P215">
            <v>8.0760000000000005</v>
          </cell>
          <cell r="Q215">
            <v>8.2349999999999994</v>
          </cell>
          <cell r="R215">
            <v>8.4269999999999996</v>
          </cell>
          <cell r="S215">
            <v>8.6460000000000008</v>
          </cell>
          <cell r="T215">
            <v>8.8829999999999991</v>
          </cell>
          <cell r="U215">
            <v>9.1300000000000008</v>
          </cell>
          <cell r="V215">
            <v>9.3840000000000003</v>
          </cell>
          <cell r="W215">
            <v>9.6449999999999996</v>
          </cell>
          <cell r="X215">
            <v>9.9019999999999992</v>
          </cell>
          <cell r="Y215">
            <v>10.143000000000001</v>
          </cell>
          <cell r="Z215">
            <v>10.359</v>
          </cell>
          <cell r="AA215">
            <v>10.548</v>
          </cell>
          <cell r="AB215">
            <v>10.71</v>
          </cell>
          <cell r="AC215">
            <v>10.845000000000001</v>
          </cell>
          <cell r="AD215">
            <v>10.95</v>
          </cell>
          <cell r="AE215">
            <v>11.026999999999999</v>
          </cell>
          <cell r="AF215">
            <v>11.073</v>
          </cell>
          <cell r="AG215">
            <v>11.093</v>
          </cell>
          <cell r="AH215">
            <v>11.106</v>
          </cell>
          <cell r="AI215">
            <v>11.135999999999999</v>
          </cell>
          <cell r="AJ215">
            <v>11.202999999999999</v>
          </cell>
          <cell r="AK215">
            <v>11.317</v>
          </cell>
          <cell r="AL215">
            <v>11.472</v>
          </cell>
          <cell r="AM215">
            <v>11.656000000000001</v>
          </cell>
          <cell r="AN215">
            <v>11.846</v>
          </cell>
          <cell r="AO215">
            <v>12.026999999999999</v>
          </cell>
          <cell r="AP215">
            <v>12.183999999999999</v>
          </cell>
          <cell r="AQ215">
            <v>12.327</v>
          </cell>
          <cell r="AR215">
            <v>12.484999999999999</v>
          </cell>
          <cell r="AS215">
            <v>12.705</v>
          </cell>
          <cell r="AT215">
            <v>13.013999999999999</v>
          </cell>
          <cell r="AU215">
            <v>13.432</v>
          </cell>
          <cell r="AV215">
            <v>13.935</v>
          </cell>
          <cell r="AW215">
            <v>14.446</v>
          </cell>
          <cell r="AX215">
            <v>14.861000000000001</v>
          </cell>
          <cell r="AY215">
            <v>15.106</v>
          </cell>
          <cell r="AZ215">
            <v>15.167999999999999</v>
          </cell>
          <cell r="BA215">
            <v>15.08</v>
          </cell>
          <cell r="BB215">
            <v>14.882999999999999</v>
          </cell>
          <cell r="BC215">
            <v>14.634</v>
          </cell>
          <cell r="BD215">
            <v>14.39</v>
          </cell>
          <cell r="BE215">
            <v>14.135</v>
          </cell>
          <cell r="BF215">
            <v>13.884</v>
          </cell>
          <cell r="BG215">
            <v>13.753</v>
          </cell>
          <cell r="BH215">
            <v>13.894</v>
          </cell>
          <cell r="BI215">
            <v>14.401999999999999</v>
          </cell>
          <cell r="BJ215">
            <v>15.331</v>
          </cell>
          <cell r="BK215">
            <v>16.623999999999999</v>
          </cell>
          <cell r="BL215">
            <v>18.128</v>
          </cell>
          <cell r="BM215">
            <v>19.620999999999999</v>
          </cell>
          <cell r="BN215">
            <v>20.942</v>
          </cell>
          <cell r="BO215">
            <v>22.04</v>
          </cell>
          <cell r="BP215">
            <v>22.946999999999999</v>
          </cell>
          <cell r="BQ215">
            <v>23.687999999999999</v>
          </cell>
          <cell r="BR215">
            <v>24.312999999999999</v>
          </cell>
          <cell r="BS215">
            <v>24.861000000000001</v>
          </cell>
        </row>
        <row r="216">
          <cell r="E216">
            <v>136</v>
          </cell>
          <cell r="F216">
            <v>6.4130000000000003</v>
          </cell>
          <cell r="G216">
            <v>6.2690000000000001</v>
          </cell>
          <cell r="H216">
            <v>6.2450000000000001</v>
          </cell>
          <cell r="I216">
            <v>6.319</v>
          </cell>
          <cell r="J216">
            <v>6.47</v>
          </cell>
          <cell r="K216">
            <v>6.6760000000000002</v>
          </cell>
          <cell r="L216">
            <v>6.9180000000000001</v>
          </cell>
          <cell r="M216">
            <v>7.1779999999999999</v>
          </cell>
          <cell r="N216">
            <v>7.4320000000000004</v>
          </cell>
          <cell r="O216">
            <v>7.6669999999999998</v>
          </cell>
          <cell r="P216">
            <v>7.867</v>
          </cell>
          <cell r="Q216">
            <v>8.0259999999999998</v>
          </cell>
          <cell r="R216">
            <v>8.1419999999999995</v>
          </cell>
          <cell r="S216">
            <v>8.2279999999999998</v>
          </cell>
          <cell r="T216">
            <v>8.2989999999999995</v>
          </cell>
          <cell r="U216">
            <v>8.3710000000000004</v>
          </cell>
          <cell r="V216">
            <v>8.4420000000000002</v>
          </cell>
          <cell r="W216">
            <v>8.5180000000000007</v>
          </cell>
          <cell r="X216">
            <v>8.6319999999999997</v>
          </cell>
          <cell r="Y216">
            <v>8.8309999999999995</v>
          </cell>
          <cell r="Z216">
            <v>9.1440000000000001</v>
          </cell>
          <cell r="AA216">
            <v>9.5830000000000002</v>
          </cell>
          <cell r="AB216">
            <v>10.137</v>
          </cell>
          <cell r="AC216">
            <v>10.785</v>
          </cell>
          <cell r="AD216">
            <v>11.494</v>
          </cell>
          <cell r="AE216">
            <v>12.238</v>
          </cell>
          <cell r="AF216">
            <v>13.02</v>
          </cell>
          <cell r="AG216">
            <v>13.84</v>
          </cell>
          <cell r="AH216">
            <v>14.663</v>
          </cell>
          <cell r="AI216">
            <v>15.446999999999999</v>
          </cell>
          <cell r="AJ216">
            <v>16.164000000000001</v>
          </cell>
          <cell r="AK216">
            <v>16.795000000000002</v>
          </cell>
          <cell r="AL216">
            <v>17.356999999999999</v>
          </cell>
          <cell r="AM216">
            <v>17.911000000000001</v>
          </cell>
          <cell r="AN216">
            <v>18.542999999999999</v>
          </cell>
          <cell r="AO216">
            <v>19.315000000000001</v>
          </cell>
          <cell r="AP216">
            <v>20.254000000000001</v>
          </cell>
          <cell r="AQ216">
            <v>21.343</v>
          </cell>
          <cell r="AR216">
            <v>22.539000000000001</v>
          </cell>
          <cell r="AS216">
            <v>23.776</v>
          </cell>
          <cell r="AT216">
            <v>25.009</v>
          </cell>
          <cell r="AU216">
            <v>26.210999999999999</v>
          </cell>
          <cell r="AV216">
            <v>27.402000000000001</v>
          </cell>
          <cell r="AW216">
            <v>28.652000000000001</v>
          </cell>
          <cell r="AX216">
            <v>30.055</v>
          </cell>
          <cell r="AY216">
            <v>31.672000000000001</v>
          </cell>
          <cell r="AZ216">
            <v>33.534999999999997</v>
          </cell>
          <cell r="BA216">
            <v>35.595999999999997</v>
          </cell>
          <cell r="BB216">
            <v>37.741999999999997</v>
          </cell>
          <cell r="BC216">
            <v>39.81</v>
          </cell>
          <cell r="BD216">
            <v>41.685000000000002</v>
          </cell>
          <cell r="BE216">
            <v>43.317</v>
          </cell>
          <cell r="BF216">
            <v>44.741999999999997</v>
          </cell>
          <cell r="BG216">
            <v>46.031999999999996</v>
          </cell>
          <cell r="BH216">
            <v>47.298999999999999</v>
          </cell>
          <cell r="BI216">
            <v>48.622999999999998</v>
          </cell>
          <cell r="BJ216">
            <v>50.027999999999999</v>
          </cell>
          <cell r="BK216">
            <v>51.48</v>
          </cell>
          <cell r="BL216">
            <v>52.924999999999997</v>
          </cell>
          <cell r="BM216">
            <v>54.284999999999997</v>
          </cell>
          <cell r="BN216">
            <v>55.509</v>
          </cell>
          <cell r="BO216">
            <v>56.58</v>
          </cell>
          <cell r="BP216">
            <v>57.521999999999998</v>
          </cell>
          <cell r="BQ216">
            <v>58.369</v>
          </cell>
          <cell r="BR216">
            <v>59.171999999999997</v>
          </cell>
          <cell r="BS216">
            <v>59.966999999999999</v>
          </cell>
        </row>
        <row r="217">
          <cell r="E217">
            <v>192</v>
          </cell>
          <cell r="F217">
            <v>5919.9970000000003</v>
          </cell>
          <cell r="G217">
            <v>6051.29</v>
          </cell>
          <cell r="H217">
            <v>6180.0309999999999</v>
          </cell>
          <cell r="I217">
            <v>6304.5240000000003</v>
          </cell>
          <cell r="J217">
            <v>6424.1729999999998</v>
          </cell>
          <cell r="K217">
            <v>6539.47</v>
          </cell>
          <cell r="L217">
            <v>6652.0860000000002</v>
          </cell>
          <cell r="M217">
            <v>6764.7870000000003</v>
          </cell>
          <cell r="N217">
            <v>6881.2089999999998</v>
          </cell>
          <cell r="O217">
            <v>7005.4859999999999</v>
          </cell>
          <cell r="P217">
            <v>7141.1289999999999</v>
          </cell>
          <cell r="Q217">
            <v>7289.8280000000004</v>
          </cell>
          <cell r="R217">
            <v>7450.4040000000005</v>
          </cell>
          <cell r="S217">
            <v>7618.3590000000004</v>
          </cell>
          <cell r="T217">
            <v>7787.1490000000003</v>
          </cell>
          <cell r="U217">
            <v>7951.9279999999999</v>
          </cell>
          <cell r="V217">
            <v>8110.4279999999999</v>
          </cell>
          <cell r="W217">
            <v>8263.5470000000005</v>
          </cell>
          <cell r="X217">
            <v>8413.3289999999997</v>
          </cell>
          <cell r="Y217">
            <v>8563.1910000000007</v>
          </cell>
          <cell r="Z217">
            <v>8715.1229999999996</v>
          </cell>
          <cell r="AA217">
            <v>8869.9609999999993</v>
          </cell>
          <cell r="AB217">
            <v>9025.2990000000009</v>
          </cell>
          <cell r="AC217">
            <v>9176.0509999999995</v>
          </cell>
          <cell r="AD217">
            <v>9315.3709999999992</v>
          </cell>
          <cell r="AE217">
            <v>9438.4449999999997</v>
          </cell>
          <cell r="AF217">
            <v>9544.268</v>
          </cell>
          <cell r="AG217">
            <v>9634.6769999999997</v>
          </cell>
          <cell r="AH217">
            <v>9711.393</v>
          </cell>
          <cell r="AI217">
            <v>9777.2870000000003</v>
          </cell>
          <cell r="AJ217">
            <v>9835.1769999999997</v>
          </cell>
          <cell r="AK217">
            <v>9884.2189999999991</v>
          </cell>
          <cell r="AL217">
            <v>9925.6180000000004</v>
          </cell>
          <cell r="AM217">
            <v>9966.7330000000002</v>
          </cell>
          <cell r="AN217">
            <v>10017.061</v>
          </cell>
          <cell r="AO217">
            <v>10082.99</v>
          </cell>
          <cell r="AP217">
            <v>10167.998</v>
          </cell>
          <cell r="AQ217">
            <v>10269.276</v>
          </cell>
          <cell r="AR217">
            <v>10379.08</v>
          </cell>
          <cell r="AS217">
            <v>10486.11</v>
          </cell>
          <cell r="AT217">
            <v>10582.082</v>
          </cell>
          <cell r="AU217">
            <v>10664.576999999999</v>
          </cell>
          <cell r="AV217">
            <v>10735.775</v>
          </cell>
          <cell r="AW217">
            <v>10797.556</v>
          </cell>
          <cell r="AX217">
            <v>10853.434999999999</v>
          </cell>
          <cell r="AY217">
            <v>10906.048000000001</v>
          </cell>
          <cell r="AZ217">
            <v>10955.371999999999</v>
          </cell>
          <cell r="BA217">
            <v>11000.431</v>
          </cell>
          <cell r="BB217">
            <v>11041.893</v>
          </cell>
          <cell r="BC217">
            <v>11080.505999999999</v>
          </cell>
          <cell r="BD217">
            <v>11116.787</v>
          </cell>
          <cell r="BE217">
            <v>11151.472</v>
          </cell>
          <cell r="BF217">
            <v>11184.54</v>
          </cell>
          <cell r="BG217">
            <v>11214.837</v>
          </cell>
          <cell r="BH217">
            <v>11240.68</v>
          </cell>
          <cell r="BI217">
            <v>11261.052</v>
          </cell>
          <cell r="BJ217">
            <v>11275.199000000001</v>
          </cell>
          <cell r="BK217">
            <v>11284.043</v>
          </cell>
          <cell r="BL217">
            <v>11290.239</v>
          </cell>
          <cell r="BM217">
            <v>11297.441999999999</v>
          </cell>
          <cell r="BN217">
            <v>11308.133</v>
          </cell>
          <cell r="BO217">
            <v>11323.57</v>
          </cell>
          <cell r="BP217">
            <v>11342.630999999999</v>
          </cell>
          <cell r="BQ217">
            <v>11362.504999999999</v>
          </cell>
          <cell r="BR217">
            <v>11379.111000000001</v>
          </cell>
          <cell r="BS217">
            <v>11389.562</v>
          </cell>
        </row>
        <row r="218">
          <cell r="E218">
            <v>531</v>
          </cell>
          <cell r="F218">
            <v>100.184</v>
          </cell>
          <cell r="G218">
            <v>104.566</v>
          </cell>
          <cell r="H218">
            <v>108.285</v>
          </cell>
          <cell r="I218">
            <v>111.501</v>
          </cell>
          <cell r="J218">
            <v>114.34699999999999</v>
          </cell>
          <cell r="K218">
            <v>116.91800000000001</v>
          </cell>
          <cell r="L218">
            <v>119.28</v>
          </cell>
          <cell r="M218">
            <v>121.465</v>
          </cell>
          <cell r="N218">
            <v>123.48</v>
          </cell>
          <cell r="O218">
            <v>125.309</v>
          </cell>
          <cell r="P218">
            <v>126.93899999999999</v>
          </cell>
          <cell r="Q218">
            <v>128.37899999999999</v>
          </cell>
          <cell r="R218">
            <v>129.68100000000001</v>
          </cell>
          <cell r="S218">
            <v>130.94999999999999</v>
          </cell>
          <cell r="T218">
            <v>132.31899999999999</v>
          </cell>
          <cell r="U218">
            <v>133.876</v>
          </cell>
          <cell r="V218">
            <v>135.654</v>
          </cell>
          <cell r="W218">
            <v>137.614</v>
          </cell>
          <cell r="X218">
            <v>139.67400000000001</v>
          </cell>
          <cell r="Y218">
            <v>141.714</v>
          </cell>
          <cell r="Z218">
            <v>143.63499999999999</v>
          </cell>
          <cell r="AA218">
            <v>145.44900000000001</v>
          </cell>
          <cell r="AB218">
            <v>147.154</v>
          </cell>
          <cell r="AC218">
            <v>148.619</v>
          </cell>
          <cell r="AD218">
            <v>149.68600000000001</v>
          </cell>
          <cell r="AE218">
            <v>150.25800000000001</v>
          </cell>
          <cell r="AF218">
            <v>150.244</v>
          </cell>
          <cell r="AG218">
            <v>149.714</v>
          </cell>
          <cell r="AH218">
            <v>148.93600000000001</v>
          </cell>
          <cell r="AI218">
            <v>148.27699999999999</v>
          </cell>
          <cell r="AJ218">
            <v>147.995</v>
          </cell>
          <cell r="AK218">
            <v>148.20699999999999</v>
          </cell>
          <cell r="AL218">
            <v>148.81299999999999</v>
          </cell>
          <cell r="AM218">
            <v>149.584</v>
          </cell>
          <cell r="AN218">
            <v>150.184</v>
          </cell>
          <cell r="AO218">
            <v>150.375</v>
          </cell>
          <cell r="AP218">
            <v>150.059</v>
          </cell>
          <cell r="AQ218">
            <v>149.328</v>
          </cell>
          <cell r="AR218">
            <v>148.35900000000001</v>
          </cell>
          <cell r="AS218">
            <v>147.41499999999999</v>
          </cell>
          <cell r="AT218">
            <v>146.67400000000001</v>
          </cell>
          <cell r="AU218">
            <v>146.238</v>
          </cell>
          <cell r="AV218">
            <v>146.01599999999999</v>
          </cell>
          <cell r="AW218">
            <v>145.762</v>
          </cell>
          <cell r="AX218">
            <v>145.12799999999999</v>
          </cell>
          <cell r="AY218">
            <v>143.886</v>
          </cell>
          <cell r="AZ218">
            <v>141.98099999999999</v>
          </cell>
          <cell r="BA218">
            <v>139.56800000000001</v>
          </cell>
          <cell r="BB218">
            <v>136.89500000000001</v>
          </cell>
          <cell r="BC218">
            <v>134.31200000000001</v>
          </cell>
          <cell r="BD218">
            <v>132.101</v>
          </cell>
          <cell r="BE218">
            <v>130.27099999999999</v>
          </cell>
          <cell r="BF218">
            <v>128.822</v>
          </cell>
          <cell r="BG218">
            <v>128.011</v>
          </cell>
          <cell r="BH218">
            <v>128.14400000000001</v>
          </cell>
          <cell r="BI218">
            <v>129.398</v>
          </cell>
          <cell r="BJ218">
            <v>131.922</v>
          </cell>
          <cell r="BK218">
            <v>135.56299999999999</v>
          </cell>
          <cell r="BL218">
            <v>139.82300000000001</v>
          </cell>
          <cell r="BM218">
            <v>144.006</v>
          </cell>
          <cell r="BN218">
            <v>147.60499999999999</v>
          </cell>
          <cell r="BO218">
            <v>150.43799999999999</v>
          </cell>
          <cell r="BP218">
            <v>152.619</v>
          </cell>
          <cell r="BQ218">
            <v>154.304</v>
          </cell>
          <cell r="BR218">
            <v>155.76300000000001</v>
          </cell>
          <cell r="BS218">
            <v>157.203</v>
          </cell>
        </row>
        <row r="219">
          <cell r="E219">
            <v>212</v>
          </cell>
          <cell r="F219">
            <v>51.100999999999999</v>
          </cell>
          <cell r="G219">
            <v>51.706000000000003</v>
          </cell>
          <cell r="H219">
            <v>52.298000000000002</v>
          </cell>
          <cell r="I219">
            <v>52.945</v>
          </cell>
          <cell r="J219">
            <v>53.69</v>
          </cell>
          <cell r="K219">
            <v>54.557000000000002</v>
          </cell>
          <cell r="L219">
            <v>55.545000000000002</v>
          </cell>
          <cell r="M219">
            <v>56.631</v>
          </cell>
          <cell r="N219">
            <v>57.774999999999999</v>
          </cell>
          <cell r="O219">
            <v>58.92</v>
          </cell>
          <cell r="P219">
            <v>60.015999999999998</v>
          </cell>
          <cell r="Q219">
            <v>61.034999999999997</v>
          </cell>
          <cell r="R219">
            <v>61.984000000000002</v>
          </cell>
          <cell r="S219">
            <v>62.92</v>
          </cell>
          <cell r="T219">
            <v>63.920999999999999</v>
          </cell>
          <cell r="U219">
            <v>65.037999999999997</v>
          </cell>
          <cell r="V219">
            <v>66.305000000000007</v>
          </cell>
          <cell r="W219">
            <v>67.682000000000002</v>
          </cell>
          <cell r="X219">
            <v>69.042000000000002</v>
          </cell>
          <cell r="Y219">
            <v>70.212000000000003</v>
          </cell>
          <cell r="Z219">
            <v>71.075999999999993</v>
          </cell>
          <cell r="AA219">
            <v>71.566000000000003</v>
          </cell>
          <cell r="AB219">
            <v>71.736999999999995</v>
          </cell>
          <cell r="AC219">
            <v>71.745000000000005</v>
          </cell>
          <cell r="AD219">
            <v>71.811000000000007</v>
          </cell>
          <cell r="AE219">
            <v>72.090999999999994</v>
          </cell>
          <cell r="AF219">
            <v>72.647999999999996</v>
          </cell>
          <cell r="AG219">
            <v>73.411000000000001</v>
          </cell>
          <cell r="AH219">
            <v>74.239000000000004</v>
          </cell>
          <cell r="AI219">
            <v>74.923000000000002</v>
          </cell>
          <cell r="AJ219">
            <v>75.313000000000002</v>
          </cell>
          <cell r="AK219">
            <v>75.376000000000005</v>
          </cell>
          <cell r="AL219">
            <v>75.168000000000006</v>
          </cell>
          <cell r="AM219">
            <v>74.75</v>
          </cell>
          <cell r="AN219">
            <v>74.215000000000003</v>
          </cell>
          <cell r="AO219">
            <v>73.64</v>
          </cell>
          <cell r="AP219">
            <v>73.025000000000006</v>
          </cell>
          <cell r="AQ219">
            <v>72.367999999999995</v>
          </cell>
          <cell r="AR219">
            <v>71.742999999999995</v>
          </cell>
          <cell r="AS219">
            <v>71.242000000000004</v>
          </cell>
          <cell r="AT219">
            <v>70.927999999999997</v>
          </cell>
          <cell r="AU219">
            <v>70.849000000000004</v>
          </cell>
          <cell r="AV219">
            <v>70.977999999999994</v>
          </cell>
          <cell r="AW219">
            <v>71.204999999999998</v>
          </cell>
          <cell r="AX219">
            <v>71.372</v>
          </cell>
          <cell r="AY219">
            <v>71.367000000000004</v>
          </cell>
          <cell r="AZ219">
            <v>71.146000000000001</v>
          </cell>
          <cell r="BA219">
            <v>70.756</v>
          </cell>
          <cell r="BB219">
            <v>70.295000000000002</v>
          </cell>
          <cell r="BC219">
            <v>69.902000000000001</v>
          </cell>
          <cell r="BD219">
            <v>69.679000000000002</v>
          </cell>
          <cell r="BE219">
            <v>69.66</v>
          </cell>
          <cell r="BF219">
            <v>69.805999999999997</v>
          </cell>
          <cell r="BG219">
            <v>70.058000000000007</v>
          </cell>
          <cell r="BH219">
            <v>70.325000000000003</v>
          </cell>
          <cell r="BI219">
            <v>70.542000000000002</v>
          </cell>
          <cell r="BJ219">
            <v>70.69</v>
          </cell>
          <cell r="BK219">
            <v>70.795000000000002</v>
          </cell>
          <cell r="BL219">
            <v>70.881</v>
          </cell>
          <cell r="BM219">
            <v>70.995000000000005</v>
          </cell>
          <cell r="BN219">
            <v>71.167000000000002</v>
          </cell>
          <cell r="BO219">
            <v>71.402000000000001</v>
          </cell>
          <cell r="BP219">
            <v>71.685000000000002</v>
          </cell>
          <cell r="BQ219">
            <v>72.004999999999995</v>
          </cell>
          <cell r="BR219">
            <v>72.340999999999994</v>
          </cell>
          <cell r="BS219">
            <v>72.680000000000007</v>
          </cell>
        </row>
        <row r="220">
          <cell r="E220">
            <v>214</v>
          </cell>
          <cell r="F220">
            <v>2364.65</v>
          </cell>
          <cell r="G220">
            <v>2438.4119999999998</v>
          </cell>
          <cell r="H220">
            <v>2517.2579999999998</v>
          </cell>
          <cell r="I220">
            <v>2600.8009999999999</v>
          </cell>
          <cell r="J220">
            <v>2688.701</v>
          </cell>
          <cell r="K220">
            <v>2780.66</v>
          </cell>
          <cell r="L220">
            <v>2876.431</v>
          </cell>
          <cell r="M220">
            <v>2975.8090000000002</v>
          </cell>
          <cell r="N220">
            <v>3078.6289999999999</v>
          </cell>
          <cell r="O220">
            <v>3184.7539999999999</v>
          </cell>
          <cell r="P220">
            <v>3294.0390000000002</v>
          </cell>
          <cell r="Q220">
            <v>3406.299</v>
          </cell>
          <cell r="R220">
            <v>3521.2759999999998</v>
          </cell>
          <cell r="S220">
            <v>3638.6280000000002</v>
          </cell>
          <cell r="T220">
            <v>3757.962</v>
          </cell>
          <cell r="U220">
            <v>3878.9520000000002</v>
          </cell>
          <cell r="V220">
            <v>4001.377</v>
          </cell>
          <cell r="W220">
            <v>4125.107</v>
          </cell>
          <cell r="X220">
            <v>4250.0259999999998</v>
          </cell>
          <cell r="Y220">
            <v>4376.0559999999996</v>
          </cell>
          <cell r="Z220">
            <v>4503.1139999999996</v>
          </cell>
          <cell r="AA220">
            <v>4631.1139999999996</v>
          </cell>
          <cell r="AB220">
            <v>4759.9350000000004</v>
          </cell>
          <cell r="AC220">
            <v>4889.4369999999999</v>
          </cell>
          <cell r="AD220">
            <v>5019.4709999999995</v>
          </cell>
          <cell r="AE220">
            <v>5149.9340000000002</v>
          </cell>
          <cell r="AF220">
            <v>5280.7269999999999</v>
          </cell>
          <cell r="AG220">
            <v>5411.8670000000002</v>
          </cell>
          <cell r="AH220">
            <v>5543.52</v>
          </cell>
          <cell r="AI220">
            <v>5675.93</v>
          </cell>
          <cell r="AJ220">
            <v>5809.2709999999997</v>
          </cell>
          <cell r="AK220">
            <v>5943.5910000000003</v>
          </cell>
          <cell r="AL220">
            <v>6078.8159999999998</v>
          </cell>
          <cell r="AM220">
            <v>6214.857</v>
          </cell>
          <cell r="AN220">
            <v>6351.5720000000001</v>
          </cell>
          <cell r="AO220">
            <v>6488.857</v>
          </cell>
          <cell r="AP220">
            <v>6626.5439999999999</v>
          </cell>
          <cell r="AQ220">
            <v>6764.6229999999996</v>
          </cell>
          <cell r="AR220">
            <v>6903.3140000000003</v>
          </cell>
          <cell r="AS220">
            <v>7042.94</v>
          </cell>
          <cell r="AT220">
            <v>7183.6459999999997</v>
          </cell>
          <cell r="AU220">
            <v>7325.6220000000003</v>
          </cell>
          <cell r="AV220">
            <v>7468.5510000000004</v>
          </cell>
          <cell r="AW220">
            <v>7611.4629999999997</v>
          </cell>
          <cell r="AX220">
            <v>7753.0519999999997</v>
          </cell>
          <cell r="AY220">
            <v>7892.42</v>
          </cell>
          <cell r="AZ220">
            <v>8029.1139999999996</v>
          </cell>
          <cell r="BA220">
            <v>8163.4740000000002</v>
          </cell>
          <cell r="BB220">
            <v>8296.375</v>
          </cell>
          <cell r="BC220">
            <v>8429.116</v>
          </cell>
          <cell r="BD220">
            <v>8562.6229999999996</v>
          </cell>
          <cell r="BE220">
            <v>8697.1270000000004</v>
          </cell>
          <cell r="BF220">
            <v>8832.2860000000001</v>
          </cell>
          <cell r="BG220">
            <v>8967.759</v>
          </cell>
          <cell r="BH220">
            <v>9102.9969999999994</v>
          </cell>
          <cell r="BI220">
            <v>9237.5650000000005</v>
          </cell>
          <cell r="BJ220">
            <v>9371.3330000000005</v>
          </cell>
          <cell r="BK220">
            <v>9504.3359999999993</v>
          </cell>
          <cell r="BL220">
            <v>9636.491</v>
          </cell>
          <cell r="BM220">
            <v>9767.7369999999992</v>
          </cell>
          <cell r="BN220">
            <v>9897.9830000000002</v>
          </cell>
          <cell r="BO220">
            <v>10027.14</v>
          </cell>
          <cell r="BP220">
            <v>10155.036</v>
          </cell>
          <cell r="BQ220">
            <v>10281.407999999999</v>
          </cell>
          <cell r="BR220">
            <v>10405.942999999999</v>
          </cell>
          <cell r="BS220">
            <v>10528.391</v>
          </cell>
        </row>
        <row r="221">
          <cell r="E221">
            <v>308</v>
          </cell>
          <cell r="F221">
            <v>76.676000000000002</v>
          </cell>
          <cell r="G221">
            <v>76.626000000000005</v>
          </cell>
          <cell r="H221">
            <v>77.135000000000005</v>
          </cell>
          <cell r="I221">
            <v>78.102999999999994</v>
          </cell>
          <cell r="J221">
            <v>79.432000000000002</v>
          </cell>
          <cell r="K221">
            <v>81.028000000000006</v>
          </cell>
          <cell r="L221">
            <v>82.796999999999997</v>
          </cell>
          <cell r="M221">
            <v>84.647000000000006</v>
          </cell>
          <cell r="N221">
            <v>86.495000000000005</v>
          </cell>
          <cell r="O221">
            <v>88.256</v>
          </cell>
          <cell r="P221">
            <v>89.861000000000004</v>
          </cell>
          <cell r="Q221">
            <v>91.26</v>
          </cell>
          <cell r="R221">
            <v>92.424000000000007</v>
          </cell>
          <cell r="S221">
            <v>93.353999999999999</v>
          </cell>
          <cell r="T221">
            <v>94.066000000000003</v>
          </cell>
          <cell r="U221">
            <v>94.578999999999994</v>
          </cell>
          <cell r="V221">
            <v>94.878</v>
          </cell>
          <cell r="W221">
            <v>94.962000000000003</v>
          </cell>
          <cell r="X221">
            <v>94.875</v>
          </cell>
          <cell r="Y221">
            <v>94.682000000000002</v>
          </cell>
          <cell r="Z221">
            <v>94.43</v>
          </cell>
          <cell r="AA221">
            <v>94.18</v>
          </cell>
          <cell r="AB221">
            <v>93.936999999999998</v>
          </cell>
          <cell r="AC221">
            <v>93.629000000000005</v>
          </cell>
          <cell r="AD221">
            <v>93.150999999999996</v>
          </cell>
          <cell r="AE221">
            <v>92.453000000000003</v>
          </cell>
          <cell r="AF221">
            <v>91.435000000000002</v>
          </cell>
          <cell r="AG221">
            <v>90.186999999999998</v>
          </cell>
          <cell r="AH221">
            <v>89.07</v>
          </cell>
          <cell r="AI221">
            <v>88.570999999999998</v>
          </cell>
          <cell r="AJ221">
            <v>89.004000000000005</v>
          </cell>
          <cell r="AK221">
            <v>90.575000000000003</v>
          </cell>
          <cell r="AL221">
            <v>93.090999999999994</v>
          </cell>
          <cell r="AM221">
            <v>95.980999999999995</v>
          </cell>
          <cell r="AN221">
            <v>98.44</v>
          </cell>
          <cell r="AO221">
            <v>99.906999999999996</v>
          </cell>
          <cell r="AP221">
            <v>100.146</v>
          </cell>
          <cell r="AQ221">
            <v>99.381</v>
          </cell>
          <cell r="AR221">
            <v>98.063000000000002</v>
          </cell>
          <cell r="AS221">
            <v>96.870999999999995</v>
          </cell>
          <cell r="AT221">
            <v>96.286000000000001</v>
          </cell>
          <cell r="AU221">
            <v>96.454999999999998</v>
          </cell>
          <cell r="AV221">
            <v>97.200999999999993</v>
          </cell>
          <cell r="AW221">
            <v>98.302000000000007</v>
          </cell>
          <cell r="AX221">
            <v>99.403000000000006</v>
          </cell>
          <cell r="AY221">
            <v>100.253</v>
          </cell>
          <cell r="AZ221">
            <v>100.79600000000001</v>
          </cell>
          <cell r="BA221">
            <v>101.125</v>
          </cell>
          <cell r="BB221">
            <v>101.30200000000001</v>
          </cell>
          <cell r="BC221">
            <v>101.441</v>
          </cell>
          <cell r="BD221">
            <v>101.62</v>
          </cell>
          <cell r="BE221">
            <v>101.849</v>
          </cell>
          <cell r="BF221">
            <v>102.1</v>
          </cell>
          <cell r="BG221">
            <v>102.371</v>
          </cell>
          <cell r="BH221">
            <v>102.657</v>
          </cell>
          <cell r="BI221">
            <v>102.95099999999999</v>
          </cell>
          <cell r="BJ221">
            <v>103.259</v>
          </cell>
          <cell r="BK221">
            <v>103.587</v>
          </cell>
          <cell r="BL221">
            <v>103.934</v>
          </cell>
          <cell r="BM221">
            <v>104.298</v>
          </cell>
          <cell r="BN221">
            <v>104.67700000000001</v>
          </cell>
          <cell r="BO221">
            <v>105.07</v>
          </cell>
          <cell r="BP221">
            <v>105.476</v>
          </cell>
          <cell r="BQ221">
            <v>105.902</v>
          </cell>
          <cell r="BR221">
            <v>106.349</v>
          </cell>
          <cell r="BS221">
            <v>106.825</v>
          </cell>
        </row>
        <row r="222">
          <cell r="E222">
            <v>312</v>
          </cell>
          <cell r="F222">
            <v>209.999</v>
          </cell>
          <cell r="G222">
            <v>213.05500000000001</v>
          </cell>
          <cell r="H222">
            <v>217.24799999999999</v>
          </cell>
          <cell r="I222">
            <v>222.55099999999999</v>
          </cell>
          <cell r="J222">
            <v>228.874</v>
          </cell>
          <cell r="K222">
            <v>236.06100000000001</v>
          </cell>
          <cell r="L222">
            <v>243.886</v>
          </cell>
          <cell r="M222">
            <v>252.05699999999999</v>
          </cell>
          <cell r="N222">
            <v>260.23200000000003</v>
          </cell>
          <cell r="O222">
            <v>268.04399999999998</v>
          </cell>
          <cell r="P222">
            <v>275.16899999999998</v>
          </cell>
          <cell r="Q222">
            <v>281.41199999999998</v>
          </cell>
          <cell r="R222">
            <v>286.76799999999997</v>
          </cell>
          <cell r="S222">
            <v>291.459</v>
          </cell>
          <cell r="T222">
            <v>295.83999999999997</v>
          </cell>
          <cell r="U222">
            <v>300.17</v>
          </cell>
          <cell r="V222">
            <v>304.50599999999997</v>
          </cell>
          <cell r="W222">
            <v>308.73399999999998</v>
          </cell>
          <cell r="X222">
            <v>312.73</v>
          </cell>
          <cell r="Y222">
            <v>316.30399999999997</v>
          </cell>
          <cell r="Z222">
            <v>319.32900000000001</v>
          </cell>
          <cell r="AA222">
            <v>321.84800000000001</v>
          </cell>
          <cell r="AB222">
            <v>323.947</v>
          </cell>
          <cell r="AC222">
            <v>325.601</v>
          </cell>
          <cell r="AD222">
            <v>326.78399999999999</v>
          </cell>
          <cell r="AE222">
            <v>327.52499999999998</v>
          </cell>
          <cell r="AF222">
            <v>327.755</v>
          </cell>
          <cell r="AG222">
            <v>327.62400000000002</v>
          </cell>
          <cell r="AH222">
            <v>327.65300000000002</v>
          </cell>
          <cell r="AI222">
            <v>328.529</v>
          </cell>
          <cell r="AJ222">
            <v>330.72899999999998</v>
          </cell>
          <cell r="AK222">
            <v>334.43299999999999</v>
          </cell>
          <cell r="AL222">
            <v>339.46499999999997</v>
          </cell>
          <cell r="AM222">
            <v>345.49599999999998</v>
          </cell>
          <cell r="AN222">
            <v>352.02</v>
          </cell>
          <cell r="AO222">
            <v>358.63299999999998</v>
          </cell>
          <cell r="AP222">
            <v>365.29300000000001</v>
          </cell>
          <cell r="AQ222">
            <v>372.02100000000002</v>
          </cell>
          <cell r="AR222">
            <v>378.55399999999997</v>
          </cell>
          <cell r="AS222">
            <v>384.58300000000003</v>
          </cell>
          <cell r="AT222">
            <v>389.90699999999998</v>
          </cell>
          <cell r="AU222">
            <v>394.35899999999998</v>
          </cell>
          <cell r="AV222">
            <v>398.01400000000001</v>
          </cell>
          <cell r="AW222">
            <v>401.221</v>
          </cell>
          <cell r="AX222">
            <v>404.48</v>
          </cell>
          <cell r="AY222">
            <v>408.15199999999999</v>
          </cell>
          <cell r="AZ222">
            <v>412.32400000000001</v>
          </cell>
          <cell r="BA222">
            <v>416.86700000000002</v>
          </cell>
          <cell r="BB222">
            <v>421.65300000000002</v>
          </cell>
          <cell r="BC222">
            <v>426.47399999999999</v>
          </cell>
          <cell r="BD222">
            <v>431.15699999999998</v>
          </cell>
          <cell r="BE222">
            <v>435.73</v>
          </cell>
          <cell r="BF222">
            <v>440.202</v>
          </cell>
          <cell r="BG222">
            <v>444.36</v>
          </cell>
          <cell r="BH222">
            <v>447.93599999999998</v>
          </cell>
          <cell r="BI222">
            <v>450.76100000000002</v>
          </cell>
          <cell r="BJ222">
            <v>452.714</v>
          </cell>
          <cell r="BK222">
            <v>453.904</v>
          </cell>
          <cell r="BL222">
            <v>454.68</v>
          </cell>
          <cell r="BM222">
            <v>455.536</v>
          </cell>
          <cell r="BN222">
            <v>456.822</v>
          </cell>
          <cell r="BO222">
            <v>458.66699999999997</v>
          </cell>
          <cell r="BP222">
            <v>460.96499999999997</v>
          </cell>
          <cell r="BQ222">
            <v>463.536</v>
          </cell>
          <cell r="BR222">
            <v>466.1</v>
          </cell>
          <cell r="BS222">
            <v>468.45</v>
          </cell>
        </row>
        <row r="223">
          <cell r="E223">
            <v>332</v>
          </cell>
          <cell r="F223">
            <v>3221.277</v>
          </cell>
          <cell r="G223">
            <v>3275.3679999999999</v>
          </cell>
          <cell r="H223">
            <v>3331.5819999999999</v>
          </cell>
          <cell r="I223">
            <v>3390.047</v>
          </cell>
          <cell r="J223">
            <v>3450.8560000000002</v>
          </cell>
          <cell r="K223">
            <v>3514.0720000000001</v>
          </cell>
          <cell r="L223">
            <v>3579.723</v>
          </cell>
          <cell r="M223">
            <v>3647.806</v>
          </cell>
          <cell r="N223">
            <v>3718.2860000000001</v>
          </cell>
          <cell r="O223">
            <v>3791.0990000000002</v>
          </cell>
          <cell r="P223">
            <v>3866.16</v>
          </cell>
          <cell r="Q223">
            <v>3943.3629999999998</v>
          </cell>
          <cell r="R223">
            <v>4022.596</v>
          </cell>
          <cell r="S223">
            <v>4103.732</v>
          </cell>
          <cell r="T223">
            <v>4186.6360000000004</v>
          </cell>
          <cell r="U223">
            <v>4271.1329999999998</v>
          </cell>
          <cell r="V223">
            <v>4357.482</v>
          </cell>
          <cell r="W223">
            <v>4445.5309999999999</v>
          </cell>
          <cell r="X223">
            <v>4534.2330000000002</v>
          </cell>
          <cell r="Y223">
            <v>4622.2089999999998</v>
          </cell>
          <cell r="Z223">
            <v>4708.6390000000001</v>
          </cell>
          <cell r="AA223">
            <v>4793.1570000000002</v>
          </cell>
          <cell r="AB223">
            <v>4876.558</v>
          </cell>
          <cell r="AC223">
            <v>4960.6549999999997</v>
          </cell>
          <cell r="AD223">
            <v>5047.9480000000003</v>
          </cell>
          <cell r="AE223">
            <v>5140.357</v>
          </cell>
          <cell r="AF223">
            <v>5238.2420000000002</v>
          </cell>
          <cell r="AG223">
            <v>5341.4179999999997</v>
          </cell>
          <cell r="AH223">
            <v>5450.55</v>
          </cell>
          <cell r="AI223">
            <v>5566.2650000000003</v>
          </cell>
          <cell r="AJ223">
            <v>5688.8320000000003</v>
          </cell>
          <cell r="AK223">
            <v>5818.6729999999998</v>
          </cell>
          <cell r="AL223">
            <v>5955.2650000000003</v>
          </cell>
          <cell r="AM223">
            <v>6096.69</v>
          </cell>
          <cell r="AN223">
            <v>6240.33</v>
          </cell>
          <cell r="AO223">
            <v>6384.1959999999999</v>
          </cell>
          <cell r="AP223">
            <v>6527.5450000000001</v>
          </cell>
          <cell r="AQ223">
            <v>6670.5659999999998</v>
          </cell>
          <cell r="AR223">
            <v>6813.3440000000001</v>
          </cell>
          <cell r="AS223">
            <v>6956.3010000000004</v>
          </cell>
          <cell r="AT223">
            <v>7099.7330000000002</v>
          </cell>
          <cell r="AU223">
            <v>7243.3909999999996</v>
          </cell>
          <cell r="AV223">
            <v>7386.9740000000002</v>
          </cell>
          <cell r="AW223">
            <v>7530.7030000000004</v>
          </cell>
          <cell r="AX223">
            <v>7674.9110000000001</v>
          </cell>
          <cell r="AY223">
            <v>7819.8059999999996</v>
          </cell>
          <cell r="AZ223">
            <v>7965.5479999999998</v>
          </cell>
          <cell r="BA223">
            <v>8111.9539999999997</v>
          </cell>
          <cell r="BB223">
            <v>8258.4840000000004</v>
          </cell>
          <cell r="BC223">
            <v>8404.3960000000006</v>
          </cell>
          <cell r="BD223">
            <v>8549.2019999999993</v>
          </cell>
          <cell r="BE223">
            <v>8692.5640000000003</v>
          </cell>
          <cell r="BF223">
            <v>8834.7389999999996</v>
          </cell>
          <cell r="BG223">
            <v>8976.5550000000003</v>
          </cell>
          <cell r="BH223">
            <v>9119.1820000000007</v>
          </cell>
          <cell r="BI223">
            <v>9263.4089999999997</v>
          </cell>
          <cell r="BJ223">
            <v>9409.4789999999994</v>
          </cell>
          <cell r="BK223">
            <v>9556.9580000000005</v>
          </cell>
          <cell r="BL223">
            <v>9705.1299999999992</v>
          </cell>
          <cell r="BM223">
            <v>9852.9529999999995</v>
          </cell>
          <cell r="BN223">
            <v>9999.6170000000002</v>
          </cell>
          <cell r="BO223">
            <v>10144.89</v>
          </cell>
          <cell r="BP223">
            <v>10288.828</v>
          </cell>
          <cell r="BQ223">
            <v>10431.249</v>
          </cell>
          <cell r="BR223">
            <v>10572.029</v>
          </cell>
          <cell r="BS223">
            <v>10711.066999999999</v>
          </cell>
        </row>
        <row r="224">
          <cell r="E224">
            <v>388</v>
          </cell>
          <cell r="F224">
            <v>1402.896</v>
          </cell>
          <cell r="G224">
            <v>1436.8510000000001</v>
          </cell>
          <cell r="H224">
            <v>1468.3610000000001</v>
          </cell>
          <cell r="I224">
            <v>1496.6289999999999</v>
          </cell>
          <cell r="J224">
            <v>1521.3119999999999</v>
          </cell>
          <cell r="K224">
            <v>1542.5229999999999</v>
          </cell>
          <cell r="L224">
            <v>1560.8579999999999</v>
          </cell>
          <cell r="M224">
            <v>1577.3720000000001</v>
          </cell>
          <cell r="N224">
            <v>1593.4880000000001</v>
          </cell>
          <cell r="O224">
            <v>1610.8520000000001</v>
          </cell>
          <cell r="P224">
            <v>1630.914</v>
          </cell>
          <cell r="Q224">
            <v>1654.461</v>
          </cell>
          <cell r="R224">
            <v>1681.222</v>
          </cell>
          <cell r="S224">
            <v>1709.69</v>
          </cell>
          <cell r="T224">
            <v>1737.616</v>
          </cell>
          <cell r="U224">
            <v>1763.4359999999999</v>
          </cell>
          <cell r="V224">
            <v>1786.547</v>
          </cell>
          <cell r="W224">
            <v>1807.64</v>
          </cell>
          <cell r="X224">
            <v>1827.989</v>
          </cell>
          <cell r="Y224">
            <v>1849.463</v>
          </cell>
          <cell r="Z224">
            <v>1873.3530000000001</v>
          </cell>
          <cell r="AA224">
            <v>1900.2429999999999</v>
          </cell>
          <cell r="AB224">
            <v>1929.556</v>
          </cell>
          <cell r="AC224">
            <v>1960.0429999999999</v>
          </cell>
          <cell r="AD224">
            <v>1989.88</v>
          </cell>
          <cell r="AE224">
            <v>2017.83</v>
          </cell>
          <cell r="AF224">
            <v>2043.097</v>
          </cell>
          <cell r="AG224">
            <v>2066.2469999999998</v>
          </cell>
          <cell r="AH224">
            <v>2089.0149999999999</v>
          </cell>
          <cell r="AI224">
            <v>2113.88</v>
          </cell>
          <cell r="AJ224">
            <v>2142.4380000000001</v>
          </cell>
          <cell r="AK224">
            <v>2175.634</v>
          </cell>
          <cell r="AL224">
            <v>2212.4</v>
          </cell>
          <cell r="AM224">
            <v>2249.89</v>
          </cell>
          <cell r="AN224">
            <v>2284.1179999999999</v>
          </cell>
          <cell r="AO224">
            <v>2312.337</v>
          </cell>
          <cell r="AP224">
            <v>2333.4270000000001</v>
          </cell>
          <cell r="AQ224">
            <v>2348.5720000000001</v>
          </cell>
          <cell r="AR224">
            <v>2360.1590000000001</v>
          </cell>
          <cell r="AS224">
            <v>2371.7130000000002</v>
          </cell>
          <cell r="AT224">
            <v>2385.806</v>
          </cell>
          <cell r="AU224">
            <v>2403.0819999999999</v>
          </cell>
          <cell r="AV224">
            <v>2422.7829999999999</v>
          </cell>
          <cell r="AW224">
            <v>2444.3879999999999</v>
          </cell>
          <cell r="AX224">
            <v>2466.9029999999998</v>
          </cell>
          <cell r="AY224">
            <v>2489.54</v>
          </cell>
          <cell r="AZ224">
            <v>2512.34</v>
          </cell>
          <cell r="BA224">
            <v>2535.4430000000002</v>
          </cell>
          <cell r="BB224">
            <v>2558.241</v>
          </cell>
          <cell r="BC224">
            <v>2579.973</v>
          </cell>
          <cell r="BD224">
            <v>2600.0949999999998</v>
          </cell>
          <cell r="BE224">
            <v>2618.3249999999998</v>
          </cell>
          <cell r="BF224">
            <v>2634.779</v>
          </cell>
          <cell r="BG224">
            <v>2649.8249999999998</v>
          </cell>
          <cell r="BH224">
            <v>2664.049</v>
          </cell>
          <cell r="BI224">
            <v>2677.8879999999999</v>
          </cell>
          <cell r="BJ224">
            <v>2691.444</v>
          </cell>
          <cell r="BK224">
            <v>2704.6060000000002</v>
          </cell>
          <cell r="BL224">
            <v>2717.3440000000001</v>
          </cell>
          <cell r="BM224">
            <v>2729.5749999999998</v>
          </cell>
          <cell r="BN224">
            <v>2741.2530000000002</v>
          </cell>
          <cell r="BO224">
            <v>2752.3580000000002</v>
          </cell>
          <cell r="BP224">
            <v>2762.9650000000001</v>
          </cell>
          <cell r="BQ224">
            <v>2773.2150000000001</v>
          </cell>
          <cell r="BR224">
            <v>2783.3009999999999</v>
          </cell>
          <cell r="BS224">
            <v>2793.335</v>
          </cell>
        </row>
        <row r="225">
          <cell r="E225">
            <v>474</v>
          </cell>
          <cell r="F225">
            <v>222.001</v>
          </cell>
          <cell r="G225">
            <v>224.41800000000001</v>
          </cell>
          <cell r="H225">
            <v>228.268</v>
          </cell>
          <cell r="I225">
            <v>233.26499999999999</v>
          </cell>
          <cell r="J225">
            <v>239.14699999999999</v>
          </cell>
          <cell r="K225">
            <v>245.679</v>
          </cell>
          <cell r="L225">
            <v>252.65199999999999</v>
          </cell>
          <cell r="M225">
            <v>259.88099999999997</v>
          </cell>
          <cell r="N225">
            <v>267.20800000000003</v>
          </cell>
          <cell r="O225">
            <v>274.49599999999998</v>
          </cell>
          <cell r="P225">
            <v>281.625</v>
          </cell>
          <cell r="Q225">
            <v>288.483</v>
          </cell>
          <cell r="R225">
            <v>294.964</v>
          </cell>
          <cell r="S225">
            <v>300.95800000000003</v>
          </cell>
          <cell r="T225">
            <v>306.37</v>
          </cell>
          <cell r="U225">
            <v>311.12900000000002</v>
          </cell>
          <cell r="V225">
            <v>315.17500000000001</v>
          </cell>
          <cell r="W225">
            <v>318.50200000000001</v>
          </cell>
          <cell r="X225">
            <v>321.18099999999998</v>
          </cell>
          <cell r="Y225">
            <v>323.32299999999998</v>
          </cell>
          <cell r="Z225">
            <v>325.017</v>
          </cell>
          <cell r="AA225">
            <v>326.33800000000002</v>
          </cell>
          <cell r="AB225">
            <v>327.30399999999997</v>
          </cell>
          <cell r="AC225">
            <v>327.89699999999999</v>
          </cell>
          <cell r="AD225">
            <v>328.07299999999998</v>
          </cell>
          <cell r="AE225">
            <v>327.84100000000001</v>
          </cell>
          <cell r="AF225">
            <v>327.17200000000003</v>
          </cell>
          <cell r="AG225">
            <v>326.2</v>
          </cell>
          <cell r="AH225">
            <v>325.29300000000001</v>
          </cell>
          <cell r="AI225">
            <v>324.93299999999999</v>
          </cell>
          <cell r="AJ225">
            <v>325.459</v>
          </cell>
          <cell r="AK225">
            <v>327</v>
          </cell>
          <cell r="AL225">
            <v>329.44900000000001</v>
          </cell>
          <cell r="AM225">
            <v>332.61</v>
          </cell>
          <cell r="AN225">
            <v>336.173</v>
          </cell>
          <cell r="AO225">
            <v>339.88600000000002</v>
          </cell>
          <cell r="AP225">
            <v>343.74700000000001</v>
          </cell>
          <cell r="AQ225">
            <v>347.76799999999997</v>
          </cell>
          <cell r="AR225">
            <v>351.72300000000001</v>
          </cell>
          <cell r="AS225">
            <v>355.346</v>
          </cell>
          <cell r="AT225">
            <v>358.45800000000003</v>
          </cell>
          <cell r="AU225">
            <v>360.90300000000002</v>
          </cell>
          <cell r="AV225">
            <v>362.762</v>
          </cell>
          <cell r="AW225">
            <v>364.38200000000001</v>
          </cell>
          <cell r="AX225">
            <v>366.25900000000001</v>
          </cell>
          <cell r="AY225">
            <v>368.73599999999999</v>
          </cell>
          <cell r="AZ225">
            <v>371.92399999999998</v>
          </cell>
          <cell r="BA225">
            <v>375.65699999999998</v>
          </cell>
          <cell r="BB225">
            <v>379.66699999999997</v>
          </cell>
          <cell r="BC225">
            <v>383.55500000000001</v>
          </cell>
          <cell r="BD225">
            <v>387.01799999999997</v>
          </cell>
          <cell r="BE225">
            <v>390.01499999999999</v>
          </cell>
          <cell r="BF225">
            <v>392.601</v>
          </cell>
          <cell r="BG225">
            <v>394.685</v>
          </cell>
          <cell r="BH225">
            <v>396.18200000000002</v>
          </cell>
          <cell r="BI225">
            <v>397.05599999999998</v>
          </cell>
          <cell r="BJ225">
            <v>397.22399999999999</v>
          </cell>
          <cell r="BK225">
            <v>396.74799999999999</v>
          </cell>
          <cell r="BL225">
            <v>395.92</v>
          </cell>
          <cell r="BM225">
            <v>395.13799999999998</v>
          </cell>
          <cell r="BN225">
            <v>394.69</v>
          </cell>
          <cell r="BO225">
            <v>394.69799999999998</v>
          </cell>
          <cell r="BP225">
            <v>395.08</v>
          </cell>
          <cell r="BQ225">
            <v>395.66199999999998</v>
          </cell>
          <cell r="BR225">
            <v>396.17599999999999</v>
          </cell>
          <cell r="BS225">
            <v>396.42500000000001</v>
          </cell>
        </row>
        <row r="226">
          <cell r="E226">
            <v>500</v>
          </cell>
          <cell r="F226">
            <v>13.521000000000001</v>
          </cell>
          <cell r="G226">
            <v>14.122999999999999</v>
          </cell>
          <cell r="H226">
            <v>14.489000000000001</v>
          </cell>
          <cell r="I226">
            <v>14.627000000000001</v>
          </cell>
          <cell r="J226">
            <v>14.552</v>
          </cell>
          <cell r="K226">
            <v>14.297000000000001</v>
          </cell>
          <cell r="L226">
            <v>13.901999999999999</v>
          </cell>
          <cell r="M226">
            <v>13.420999999999999</v>
          </cell>
          <cell r="N226">
            <v>12.917999999999999</v>
          </cell>
          <cell r="O226">
            <v>12.459</v>
          </cell>
          <cell r="P226">
            <v>12.102</v>
          </cell>
          <cell r="Q226">
            <v>11.882</v>
          </cell>
          <cell r="R226">
            <v>11.798</v>
          </cell>
          <cell r="S226">
            <v>11.805999999999999</v>
          </cell>
          <cell r="T226">
            <v>11.837</v>
          </cell>
          <cell r="U226">
            <v>11.842000000000001</v>
          </cell>
          <cell r="V226">
            <v>11.808999999999999</v>
          </cell>
          <cell r="W226">
            <v>11.757999999999999</v>
          </cell>
          <cell r="X226">
            <v>11.698</v>
          </cell>
          <cell r="Y226">
            <v>11.65</v>
          </cell>
          <cell r="Z226">
            <v>11.629</v>
          </cell>
          <cell r="AA226">
            <v>11.632999999999999</v>
          </cell>
          <cell r="AB226">
            <v>11.654999999999999</v>
          </cell>
          <cell r="AC226">
            <v>11.689</v>
          </cell>
          <cell r="AD226">
            <v>11.733000000000001</v>
          </cell>
          <cell r="AE226">
            <v>11.78</v>
          </cell>
          <cell r="AF226">
            <v>11.832000000000001</v>
          </cell>
          <cell r="AG226">
            <v>11.885</v>
          </cell>
          <cell r="AH226">
            <v>11.928000000000001</v>
          </cell>
          <cell r="AI226">
            <v>11.943</v>
          </cell>
          <cell r="AJ226">
            <v>11.919</v>
          </cell>
          <cell r="AK226">
            <v>11.85</v>
          </cell>
          <cell r="AL226">
            <v>11.743</v>
          </cell>
          <cell r="AM226">
            <v>11.606999999999999</v>
          </cell>
          <cell r="AN226">
            <v>11.464</v>
          </cell>
          <cell r="AO226">
            <v>11.324999999999999</v>
          </cell>
          <cell r="AP226">
            <v>11.183</v>
          </cell>
          <cell r="AQ226">
            <v>11.031000000000001</v>
          </cell>
          <cell r="AR226">
            <v>10.891</v>
          </cell>
          <cell r="AS226">
            <v>10.788</v>
          </cell>
          <cell r="AT226">
            <v>10.734</v>
          </cell>
          <cell r="AU226">
            <v>10.763</v>
          </cell>
          <cell r="AV226">
            <v>10.856</v>
          </cell>
          <cell r="AW226">
            <v>10.891999999999999</v>
          </cell>
          <cell r="AX226">
            <v>10.717000000000001</v>
          </cell>
          <cell r="AY226">
            <v>10.231999999999999</v>
          </cell>
          <cell r="AZ226">
            <v>9.375</v>
          </cell>
          <cell r="BA226">
            <v>8.2170000000000005</v>
          </cell>
          <cell r="BB226">
            <v>6.9359999999999999</v>
          </cell>
          <cell r="BC226">
            <v>5.7880000000000003</v>
          </cell>
          <cell r="BD226">
            <v>4.9560000000000004</v>
          </cell>
          <cell r="BE226">
            <v>4.5049999999999999</v>
          </cell>
          <cell r="BF226">
            <v>4.3769999999999998</v>
          </cell>
          <cell r="BG226">
            <v>4.4740000000000002</v>
          </cell>
          <cell r="BH226">
            <v>4.6449999999999996</v>
          </cell>
          <cell r="BI226">
            <v>4.7770000000000001</v>
          </cell>
          <cell r="BJ226">
            <v>4.8470000000000004</v>
          </cell>
          <cell r="BK226">
            <v>4.8879999999999999</v>
          </cell>
          <cell r="BL226">
            <v>4.9050000000000002</v>
          </cell>
          <cell r="BM226">
            <v>4.9219999999999997</v>
          </cell>
          <cell r="BN226">
            <v>4.9530000000000003</v>
          </cell>
          <cell r="BO226">
            <v>4.9930000000000003</v>
          </cell>
          <cell r="BP226">
            <v>5.03</v>
          </cell>
          <cell r="BQ226">
            <v>5.0629999999999997</v>
          </cell>
          <cell r="BR226">
            <v>5.0940000000000003</v>
          </cell>
          <cell r="BS226">
            <v>5.125</v>
          </cell>
        </row>
        <row r="227">
          <cell r="E227">
            <v>630</v>
          </cell>
          <cell r="F227">
            <v>2218</v>
          </cell>
          <cell r="G227">
            <v>2209.692</v>
          </cell>
          <cell r="H227">
            <v>2212.098</v>
          </cell>
          <cell r="I227">
            <v>2221.0129999999999</v>
          </cell>
          <cell r="J227">
            <v>2233.4059999999999</v>
          </cell>
          <cell r="K227">
            <v>2247.415</v>
          </cell>
          <cell r="L227">
            <v>2262.4160000000002</v>
          </cell>
          <cell r="M227">
            <v>2278.9560000000001</v>
          </cell>
          <cell r="N227">
            <v>2298.5659999999998</v>
          </cell>
          <cell r="O227">
            <v>2323.4540000000002</v>
          </cell>
          <cell r="P227">
            <v>2355.5700000000002</v>
          </cell>
          <cell r="Q227">
            <v>2395.6120000000001</v>
          </cell>
          <cell r="R227">
            <v>2442.1570000000002</v>
          </cell>
          <cell r="S227">
            <v>2491.2840000000001</v>
          </cell>
          <cell r="T227">
            <v>2537.6370000000002</v>
          </cell>
          <cell r="U227">
            <v>2577.5300000000002</v>
          </cell>
          <cell r="V227">
            <v>2609.261</v>
          </cell>
          <cell r="W227">
            <v>2634.348</v>
          </cell>
          <cell r="X227">
            <v>2656.2750000000001</v>
          </cell>
          <cell r="Y227">
            <v>2680.19</v>
          </cell>
          <cell r="Z227">
            <v>2709.8130000000001</v>
          </cell>
          <cell r="AA227">
            <v>2745.9520000000002</v>
          </cell>
          <cell r="AB227">
            <v>2787.3510000000001</v>
          </cell>
          <cell r="AC227">
            <v>2833.1469999999999</v>
          </cell>
          <cell r="AD227">
            <v>2881.7829999999999</v>
          </cell>
          <cell r="AE227">
            <v>2931.9319999999998</v>
          </cell>
          <cell r="AF227">
            <v>2983.63</v>
          </cell>
          <cell r="AG227">
            <v>3036.799</v>
          </cell>
          <cell r="AH227">
            <v>3089.8049999999998</v>
          </cell>
          <cell r="AI227">
            <v>3140.6</v>
          </cell>
          <cell r="AJ227">
            <v>3187.7040000000002</v>
          </cell>
          <cell r="AK227">
            <v>3230.4969999999998</v>
          </cell>
          <cell r="AL227">
            <v>3269.2869999999998</v>
          </cell>
          <cell r="AM227">
            <v>3304.7170000000001</v>
          </cell>
          <cell r="AN227">
            <v>3337.89</v>
          </cell>
          <cell r="AO227">
            <v>3369.7139999999999</v>
          </cell>
          <cell r="AP227">
            <v>3400.0479999999998</v>
          </cell>
          <cell r="AQ227">
            <v>3428.846</v>
          </cell>
          <cell r="AR227">
            <v>3457.232</v>
          </cell>
          <cell r="AS227">
            <v>3486.6379999999999</v>
          </cell>
          <cell r="AT227">
            <v>3517.9839999999999</v>
          </cell>
          <cell r="AU227">
            <v>3551.5819999999999</v>
          </cell>
          <cell r="AV227">
            <v>3586.848</v>
          </cell>
          <cell r="AW227">
            <v>3622.652</v>
          </cell>
          <cell r="AX227">
            <v>3657.3679999999999</v>
          </cell>
          <cell r="AY227">
            <v>3689.6489999999999</v>
          </cell>
          <cell r="AZ227">
            <v>3719.4459999999999</v>
          </cell>
          <cell r="BA227">
            <v>3746.634</v>
          </cell>
          <cell r="BB227">
            <v>3769.7179999999998</v>
          </cell>
          <cell r="BC227">
            <v>3786.884</v>
          </cell>
          <cell r="BD227">
            <v>3796.9810000000002</v>
          </cell>
          <cell r="BE227">
            <v>3799.366</v>
          </cell>
          <cell r="BF227">
            <v>3794.7559999999999</v>
          </cell>
          <cell r="BG227">
            <v>3785.1010000000001</v>
          </cell>
          <cell r="BH227">
            <v>3773.183</v>
          </cell>
          <cell r="BI227">
            <v>3761.143</v>
          </cell>
          <cell r="BJ227">
            <v>3749.6529999999998</v>
          </cell>
          <cell r="BK227">
            <v>3738.549</v>
          </cell>
          <cell r="BL227">
            <v>3728.1260000000002</v>
          </cell>
          <cell r="BM227">
            <v>3718.473</v>
          </cell>
          <cell r="BN227">
            <v>3709.6709999999998</v>
          </cell>
          <cell r="BO227">
            <v>3701.9969999999998</v>
          </cell>
          <cell r="BP227">
            <v>3695.674</v>
          </cell>
          <cell r="BQ227">
            <v>3690.5909999999999</v>
          </cell>
          <cell r="BR227">
            <v>3686.5169999999998</v>
          </cell>
          <cell r="BS227">
            <v>3683.2379999999998</v>
          </cell>
        </row>
        <row r="228">
          <cell r="E228">
            <v>659</v>
          </cell>
          <cell r="F228">
            <v>46.054000000000002</v>
          </cell>
          <cell r="G228">
            <v>46.139000000000003</v>
          </cell>
          <cell r="H228">
            <v>46.494999999999997</v>
          </cell>
          <cell r="I228">
            <v>47.051000000000002</v>
          </cell>
          <cell r="J228">
            <v>47.738999999999997</v>
          </cell>
          <cell r="K228">
            <v>48.494</v>
          </cell>
          <cell r="L228">
            <v>49.253</v>
          </cell>
          <cell r="M228">
            <v>49.954999999999998</v>
          </cell>
          <cell r="N228">
            <v>50.545999999999999</v>
          </cell>
          <cell r="O228">
            <v>50.972999999999999</v>
          </cell>
          <cell r="P228">
            <v>51.197000000000003</v>
          </cell>
          <cell r="Q228">
            <v>51.195</v>
          </cell>
          <cell r="R228">
            <v>50.966000000000001</v>
          </cell>
          <cell r="S228">
            <v>50.533000000000001</v>
          </cell>
          <cell r="T228">
            <v>49.933999999999997</v>
          </cell>
          <cell r="U228">
            <v>49.210999999999999</v>
          </cell>
          <cell r="V228">
            <v>48.354999999999997</v>
          </cell>
          <cell r="W228">
            <v>47.383000000000003</v>
          </cell>
          <cell r="X228">
            <v>46.399000000000001</v>
          </cell>
          <cell r="Y228">
            <v>45.533999999999999</v>
          </cell>
          <cell r="Z228">
            <v>44.881999999999998</v>
          </cell>
          <cell r="AA228">
            <v>44.49</v>
          </cell>
          <cell r="AB228">
            <v>44.328000000000003</v>
          </cell>
          <cell r="AC228">
            <v>44.314</v>
          </cell>
          <cell r="AD228">
            <v>44.326999999999998</v>
          </cell>
          <cell r="AE228">
            <v>44.277999999999999</v>
          </cell>
          <cell r="AF228">
            <v>44.142000000000003</v>
          </cell>
          <cell r="AG228">
            <v>43.945999999999998</v>
          </cell>
          <cell r="AH228">
            <v>43.704000000000001</v>
          </cell>
          <cell r="AI228">
            <v>43.45</v>
          </cell>
          <cell r="AJ228">
            <v>43.204999999999998</v>
          </cell>
          <cell r="AK228">
            <v>42.978000000000002</v>
          </cell>
          <cell r="AL228">
            <v>42.761000000000003</v>
          </cell>
          <cell r="AM228">
            <v>42.539000000000001</v>
          </cell>
          <cell r="AN228">
            <v>42.293999999999997</v>
          </cell>
          <cell r="AO228">
            <v>42.017000000000003</v>
          </cell>
          <cell r="AP228">
            <v>41.697000000000003</v>
          </cell>
          <cell r="AQ228">
            <v>41.353000000000002</v>
          </cell>
          <cell r="AR228">
            <v>41.045000000000002</v>
          </cell>
          <cell r="AS228">
            <v>40.853999999999999</v>
          </cell>
          <cell r="AT228">
            <v>40.832999999999998</v>
          </cell>
          <cell r="AU228">
            <v>41.009</v>
          </cell>
          <cell r="AV228">
            <v>41.36</v>
          </cell>
          <cell r="AW228">
            <v>41.835999999999999</v>
          </cell>
          <cell r="AX228">
            <v>42.363</v>
          </cell>
          <cell r="AY228">
            <v>42.887999999999998</v>
          </cell>
          <cell r="AZ228">
            <v>43.390999999999998</v>
          </cell>
          <cell r="BA228">
            <v>43.884999999999998</v>
          </cell>
          <cell r="BB228">
            <v>44.390999999999998</v>
          </cell>
          <cell r="BC228">
            <v>44.938000000000002</v>
          </cell>
          <cell r="BD228">
            <v>45.543999999999997</v>
          </cell>
          <cell r="BE228">
            <v>46.216000000000001</v>
          </cell>
          <cell r="BF228">
            <v>46.935000000000002</v>
          </cell>
          <cell r="BG228">
            <v>47.680999999999997</v>
          </cell>
          <cell r="BH228">
            <v>48.423999999999999</v>
          </cell>
          <cell r="BI228">
            <v>49.139000000000003</v>
          </cell>
          <cell r="BJ228">
            <v>49.817999999999998</v>
          </cell>
          <cell r="BK228">
            <v>50.465000000000003</v>
          </cell>
          <cell r="BL228">
            <v>51.093000000000004</v>
          </cell>
          <cell r="BM228">
            <v>51.716999999999999</v>
          </cell>
          <cell r="BN228">
            <v>52.351999999999997</v>
          </cell>
          <cell r="BO228">
            <v>52.997999999999998</v>
          </cell>
          <cell r="BP228">
            <v>53.65</v>
          </cell>
          <cell r="BQ228">
            <v>54.301000000000002</v>
          </cell>
          <cell r="BR228">
            <v>54.944000000000003</v>
          </cell>
          <cell r="BS228">
            <v>55.572000000000003</v>
          </cell>
        </row>
        <row r="229">
          <cell r="E229">
            <v>662</v>
          </cell>
          <cell r="F229">
            <v>82.783000000000001</v>
          </cell>
          <cell r="G229">
            <v>83.875</v>
          </cell>
          <cell r="H229">
            <v>84.763000000000005</v>
          </cell>
          <cell r="I229">
            <v>85.492999999999995</v>
          </cell>
          <cell r="J229">
            <v>86.108000000000004</v>
          </cell>
          <cell r="K229">
            <v>86.655000000000001</v>
          </cell>
          <cell r="L229">
            <v>87.177999999999997</v>
          </cell>
          <cell r="M229">
            <v>87.721999999999994</v>
          </cell>
          <cell r="N229">
            <v>88.331000000000003</v>
          </cell>
          <cell r="O229">
            <v>89.046999999999997</v>
          </cell>
          <cell r="P229">
            <v>89.900999999999996</v>
          </cell>
          <cell r="Q229">
            <v>90.912999999999997</v>
          </cell>
          <cell r="R229">
            <v>92.085999999999999</v>
          </cell>
          <cell r="S229">
            <v>93.397000000000006</v>
          </cell>
          <cell r="T229">
            <v>94.813000000000002</v>
          </cell>
          <cell r="U229">
            <v>96.302999999999997</v>
          </cell>
          <cell r="V229">
            <v>97.876999999999995</v>
          </cell>
          <cell r="W229">
            <v>99.525999999999996</v>
          </cell>
          <cell r="X229">
            <v>101.181</v>
          </cell>
          <cell r="Y229">
            <v>102.747</v>
          </cell>
          <cell r="Z229">
            <v>104.16200000000001</v>
          </cell>
          <cell r="AA229">
            <v>105.389</v>
          </cell>
          <cell r="AB229">
            <v>106.458</v>
          </cell>
          <cell r="AC229">
            <v>107.461</v>
          </cell>
          <cell r="AD229">
            <v>108.53400000000001</v>
          </cell>
          <cell r="AE229">
            <v>109.77</v>
          </cell>
          <cell r="AF229">
            <v>111.211</v>
          </cell>
          <cell r="AG229">
            <v>112.82599999999999</v>
          </cell>
          <cell r="AH229">
            <v>114.551</v>
          </cell>
          <cell r="AI229">
            <v>116.292</v>
          </cell>
          <cell r="AJ229">
            <v>117.98399999999999</v>
          </cell>
          <cell r="AK229">
            <v>119.593</v>
          </cell>
          <cell r="AL229">
            <v>121.15</v>
          </cell>
          <cell r="AM229">
            <v>122.738</v>
          </cell>
          <cell r="AN229">
            <v>124.468</v>
          </cell>
          <cell r="AO229">
            <v>126.416</v>
          </cell>
          <cell r="AP229">
            <v>128.62</v>
          </cell>
          <cell r="AQ229">
            <v>131.03200000000001</v>
          </cell>
          <cell r="AR229">
            <v>133.53200000000001</v>
          </cell>
          <cell r="AS229">
            <v>135.95400000000001</v>
          </cell>
          <cell r="AT229">
            <v>138.18</v>
          </cell>
          <cell r="AU229">
            <v>140.15899999999999</v>
          </cell>
          <cell r="AV229">
            <v>141.934</v>
          </cell>
          <cell r="AW229">
            <v>143.59200000000001</v>
          </cell>
          <cell r="AX229">
            <v>145.262</v>
          </cell>
          <cell r="AY229">
            <v>147.04</v>
          </cell>
          <cell r="AZ229">
            <v>148.96199999999999</v>
          </cell>
          <cell r="BA229">
            <v>150.994</v>
          </cell>
          <cell r="BB229">
            <v>153.066</v>
          </cell>
          <cell r="BC229">
            <v>155.07300000000001</v>
          </cell>
          <cell r="BD229">
            <v>156.94900000000001</v>
          </cell>
          <cell r="BE229">
            <v>158.65</v>
          </cell>
          <cell r="BF229">
            <v>160.21799999999999</v>
          </cell>
          <cell r="BG229">
            <v>161.767</v>
          </cell>
          <cell r="BH229">
            <v>163.46199999999999</v>
          </cell>
          <cell r="BI229">
            <v>165.40700000000001</v>
          </cell>
          <cell r="BJ229">
            <v>167.65600000000001</v>
          </cell>
          <cell r="BK229">
            <v>170.14599999999999</v>
          </cell>
          <cell r="BL229">
            <v>172.72900000000001</v>
          </cell>
          <cell r="BM229">
            <v>175.196</v>
          </cell>
          <cell r="BN229">
            <v>177.39699999999999</v>
          </cell>
          <cell r="BO229">
            <v>179.27799999999999</v>
          </cell>
          <cell r="BP229">
            <v>180.89</v>
          </cell>
          <cell r="BQ229">
            <v>182.30500000000001</v>
          </cell>
          <cell r="BR229">
            <v>183.64500000000001</v>
          </cell>
          <cell r="BS229">
            <v>184.999</v>
          </cell>
        </row>
        <row r="230">
          <cell r="E230">
            <v>670</v>
          </cell>
          <cell r="F230">
            <v>67</v>
          </cell>
          <cell r="G230">
            <v>68.066999999999993</v>
          </cell>
          <cell r="H230">
            <v>69.27</v>
          </cell>
          <cell r="I230">
            <v>70.593999999999994</v>
          </cell>
          <cell r="J230">
            <v>72.022000000000006</v>
          </cell>
          <cell r="K230">
            <v>73.528000000000006</v>
          </cell>
          <cell r="L230">
            <v>75.081000000000003</v>
          </cell>
          <cell r="M230">
            <v>76.641999999999996</v>
          </cell>
          <cell r="N230">
            <v>78.168000000000006</v>
          </cell>
          <cell r="O230">
            <v>79.616</v>
          </cell>
          <cell r="P230">
            <v>80.947999999999993</v>
          </cell>
          <cell r="Q230">
            <v>82.144000000000005</v>
          </cell>
          <cell r="R230">
            <v>83.206000000000003</v>
          </cell>
          <cell r="S230">
            <v>84.167000000000002</v>
          </cell>
          <cell r="T230">
            <v>85.075999999999993</v>
          </cell>
          <cell r="U230">
            <v>85.971999999999994</v>
          </cell>
          <cell r="V230">
            <v>86.86</v>
          </cell>
          <cell r="W230">
            <v>87.736000000000004</v>
          </cell>
          <cell r="X230">
            <v>88.614999999999995</v>
          </cell>
          <cell r="Y230">
            <v>89.518000000000001</v>
          </cell>
          <cell r="Z230">
            <v>90.456999999999994</v>
          </cell>
          <cell r="AA230">
            <v>91.44</v>
          </cell>
          <cell r="AB230">
            <v>92.465000000000003</v>
          </cell>
          <cell r="AC230">
            <v>93.516000000000005</v>
          </cell>
          <cell r="AD230">
            <v>94.572000000000003</v>
          </cell>
          <cell r="AE230">
            <v>95.614000000000004</v>
          </cell>
          <cell r="AF230">
            <v>96.638999999999996</v>
          </cell>
          <cell r="AG230">
            <v>97.649000000000001</v>
          </cell>
          <cell r="AH230">
            <v>98.634</v>
          </cell>
          <cell r="AI230">
            <v>99.588999999999999</v>
          </cell>
          <cell r="AJ230">
            <v>100.506</v>
          </cell>
          <cell r="AK230">
            <v>101.378</v>
          </cell>
          <cell r="AL230">
            <v>102.202</v>
          </cell>
          <cell r="AM230">
            <v>102.985</v>
          </cell>
          <cell r="AN230">
            <v>103.742</v>
          </cell>
          <cell r="AO230">
            <v>104.477</v>
          </cell>
          <cell r="AP230">
            <v>105.197</v>
          </cell>
          <cell r="AQ230">
            <v>105.892</v>
          </cell>
          <cell r="AR230">
            <v>106.533</v>
          </cell>
          <cell r="AS230">
            <v>107.081</v>
          </cell>
          <cell r="AT230">
            <v>107.509</v>
          </cell>
          <cell r="AU230">
            <v>107.81100000000001</v>
          </cell>
          <cell r="AV230">
            <v>108.001</v>
          </cell>
          <cell r="AW230">
            <v>108.09699999999999</v>
          </cell>
          <cell r="AX230">
            <v>108.129</v>
          </cell>
          <cell r="AY230">
            <v>108.122</v>
          </cell>
          <cell r="AZ230">
            <v>108.078</v>
          </cell>
          <cell r="BA230">
            <v>108.001</v>
          </cell>
          <cell r="BB230">
            <v>107.923</v>
          </cell>
          <cell r="BC230">
            <v>107.879</v>
          </cell>
          <cell r="BD230">
            <v>107.89700000000001</v>
          </cell>
          <cell r="BE230">
            <v>107.989</v>
          </cell>
          <cell r="BF230">
            <v>108.15</v>
          </cell>
          <cell r="BG230">
            <v>108.354</v>
          </cell>
          <cell r="BH230">
            <v>108.563</v>
          </cell>
          <cell r="BI230">
            <v>108.749</v>
          </cell>
          <cell r="BJ230">
            <v>108.908</v>
          </cell>
          <cell r="BK230">
            <v>109.04900000000001</v>
          </cell>
          <cell r="BL230">
            <v>109.16500000000001</v>
          </cell>
          <cell r="BM230">
            <v>109.255</v>
          </cell>
          <cell r="BN230">
            <v>109.316</v>
          </cell>
          <cell r="BO230">
            <v>109.34099999999999</v>
          </cell>
          <cell r="BP230">
            <v>109.334</v>
          </cell>
          <cell r="BQ230">
            <v>109.327</v>
          </cell>
          <cell r="BR230">
            <v>109.36</v>
          </cell>
          <cell r="BS230">
            <v>109.462</v>
          </cell>
        </row>
        <row r="231">
          <cell r="E231">
            <v>534</v>
          </cell>
          <cell r="F231">
            <v>1.4970000000000001</v>
          </cell>
          <cell r="G231">
            <v>1.6639999999999999</v>
          </cell>
          <cell r="H231">
            <v>1.7989999999999999</v>
          </cell>
          <cell r="I231">
            <v>1.9119999999999999</v>
          </cell>
          <cell r="J231">
            <v>2.0129999999999999</v>
          </cell>
          <cell r="K231">
            <v>2.11</v>
          </cell>
          <cell r="L231">
            <v>2.2109999999999999</v>
          </cell>
          <cell r="M231">
            <v>2.3260000000000001</v>
          </cell>
          <cell r="N231">
            <v>2.4630000000000001</v>
          </cell>
          <cell r="O231">
            <v>2.629</v>
          </cell>
          <cell r="P231">
            <v>2.8340000000000001</v>
          </cell>
          <cell r="Q231">
            <v>3.08</v>
          </cell>
          <cell r="R231">
            <v>3.3690000000000002</v>
          </cell>
          <cell r="S231">
            <v>3.6989999999999998</v>
          </cell>
          <cell r="T231">
            <v>4.0650000000000004</v>
          </cell>
          <cell r="U231">
            <v>4.4640000000000004</v>
          </cell>
          <cell r="V231">
            <v>4.8959999999999999</v>
          </cell>
          <cell r="W231">
            <v>5.3620000000000001</v>
          </cell>
          <cell r="X231">
            <v>5.8520000000000003</v>
          </cell>
          <cell r="Y231">
            <v>6.3550000000000004</v>
          </cell>
          <cell r="Z231">
            <v>6.8620000000000001</v>
          </cell>
          <cell r="AA231">
            <v>7.3730000000000002</v>
          </cell>
          <cell r="AB231">
            <v>7.8940000000000001</v>
          </cell>
          <cell r="AC231">
            <v>8.4280000000000008</v>
          </cell>
          <cell r="AD231">
            <v>8.9779999999999998</v>
          </cell>
          <cell r="AE231">
            <v>9.5530000000000008</v>
          </cell>
          <cell r="AF231">
            <v>10.154999999999999</v>
          </cell>
          <cell r="AG231">
            <v>10.794</v>
          </cell>
          <cell r="AH231">
            <v>11.483000000000001</v>
          </cell>
          <cell r="AI231">
            <v>12.246</v>
          </cell>
          <cell r="AJ231">
            <v>13.098000000000001</v>
          </cell>
          <cell r="AK231">
            <v>14.018000000000001</v>
          </cell>
          <cell r="AL231">
            <v>15.006</v>
          </cell>
          <cell r="AM231">
            <v>16.122</v>
          </cell>
          <cell r="AN231">
            <v>17.448</v>
          </cell>
          <cell r="AO231">
            <v>19.027000000000001</v>
          </cell>
          <cell r="AP231">
            <v>20.901</v>
          </cell>
          <cell r="AQ231">
            <v>23.007000000000001</v>
          </cell>
          <cell r="AR231">
            <v>25.146999999999998</v>
          </cell>
          <cell r="AS231">
            <v>27.056000000000001</v>
          </cell>
          <cell r="AT231">
            <v>28.545999999999999</v>
          </cell>
          <cell r="AU231">
            <v>29.536999999999999</v>
          </cell>
          <cell r="AV231">
            <v>30.093</v>
          </cell>
          <cell r="AW231">
            <v>30.338999999999999</v>
          </cell>
          <cell r="AX231">
            <v>30.471</v>
          </cell>
          <cell r="AY231">
            <v>30.631</v>
          </cell>
          <cell r="AZ231">
            <v>30.855</v>
          </cell>
          <cell r="BA231">
            <v>31.106000000000002</v>
          </cell>
          <cell r="BB231">
            <v>31.372</v>
          </cell>
          <cell r="BC231">
            <v>31.617000000000001</v>
          </cell>
          <cell r="BD231">
            <v>31.82</v>
          </cell>
          <cell r="BE231">
            <v>32</v>
          </cell>
          <cell r="BF231">
            <v>32.180999999999997</v>
          </cell>
          <cell r="BG231">
            <v>32.344000000000001</v>
          </cell>
          <cell r="BH231">
            <v>32.463000000000001</v>
          </cell>
          <cell r="BI231">
            <v>32.527999999999999</v>
          </cell>
          <cell r="BJ231">
            <v>32.512</v>
          </cell>
          <cell r="BK231">
            <v>32.442999999999998</v>
          </cell>
          <cell r="BL231">
            <v>32.432000000000002</v>
          </cell>
          <cell r="BM231">
            <v>32.627000000000002</v>
          </cell>
          <cell r="BN231">
            <v>33.125</v>
          </cell>
          <cell r="BO231">
            <v>33.978999999999999</v>
          </cell>
          <cell r="BP231">
            <v>35.134</v>
          </cell>
          <cell r="BQ231">
            <v>36.442</v>
          </cell>
          <cell r="BR231">
            <v>37.695999999999998</v>
          </cell>
          <cell r="BS231">
            <v>38.744999999999997</v>
          </cell>
        </row>
        <row r="232">
          <cell r="E232">
            <v>780</v>
          </cell>
          <cell r="F232">
            <v>645.62800000000004</v>
          </cell>
          <cell r="G232">
            <v>658.83</v>
          </cell>
          <cell r="H232">
            <v>675.74199999999996</v>
          </cell>
          <cell r="I232">
            <v>695.46699999999998</v>
          </cell>
          <cell r="J232">
            <v>717.16099999999994</v>
          </cell>
          <cell r="K232">
            <v>740.03599999999994</v>
          </cell>
          <cell r="L232">
            <v>763.35500000000002</v>
          </cell>
          <cell r="M232">
            <v>786.43799999999999</v>
          </cell>
          <cell r="N232">
            <v>808.66300000000001</v>
          </cell>
          <cell r="O232">
            <v>829.48900000000003</v>
          </cell>
          <cell r="P232">
            <v>848.48099999999999</v>
          </cell>
          <cell r="Q232">
            <v>865.35599999999999</v>
          </cell>
          <cell r="R232">
            <v>880.01900000000001</v>
          </cell>
          <cell r="S232">
            <v>892.57100000000003</v>
          </cell>
          <cell r="T232">
            <v>903.27200000000005</v>
          </cell>
          <cell r="U232">
            <v>912.41899999999998</v>
          </cell>
          <cell r="V232">
            <v>919.90200000000004</v>
          </cell>
          <cell r="W232">
            <v>925.91800000000001</v>
          </cell>
          <cell r="X232">
            <v>931.46600000000001</v>
          </cell>
          <cell r="Y232">
            <v>937.846</v>
          </cell>
          <cell r="Z232">
            <v>945.99599999999998</v>
          </cell>
          <cell r="AA232">
            <v>956.36400000000003</v>
          </cell>
          <cell r="AB232">
            <v>968.74199999999996</v>
          </cell>
          <cell r="AC232">
            <v>982.59400000000005</v>
          </cell>
          <cell r="AD232">
            <v>997.05200000000002</v>
          </cell>
          <cell r="AE232">
            <v>1011.487</v>
          </cell>
          <cell r="AF232">
            <v>1025.655</v>
          </cell>
          <cell r="AG232">
            <v>1039.7570000000001</v>
          </cell>
          <cell r="AH232">
            <v>1054.1089999999999</v>
          </cell>
          <cell r="AI232">
            <v>1069.1990000000001</v>
          </cell>
          <cell r="AJ232">
            <v>1085.308</v>
          </cell>
          <cell r="AK232">
            <v>1102.5619999999999</v>
          </cell>
          <cell r="AL232">
            <v>1120.6099999999999</v>
          </cell>
          <cell r="AM232">
            <v>1138.673</v>
          </cell>
          <cell r="AN232">
            <v>1155.701</v>
          </cell>
          <cell r="AO232">
            <v>1170.9349999999999</v>
          </cell>
          <cell r="AP232">
            <v>1184.0530000000001</v>
          </cell>
          <cell r="AQ232">
            <v>1195.2429999999999</v>
          </cell>
          <cell r="AR232">
            <v>1204.8900000000001</v>
          </cell>
          <cell r="AS232">
            <v>1213.625</v>
          </cell>
          <cell r="AT232">
            <v>1221.904</v>
          </cell>
          <cell r="AU232">
            <v>1229.9059999999999</v>
          </cell>
          <cell r="AV232">
            <v>1237.4860000000001</v>
          </cell>
          <cell r="AW232">
            <v>1244.4100000000001</v>
          </cell>
          <cell r="AX232">
            <v>1250.316</v>
          </cell>
          <cell r="AY232">
            <v>1255.001</v>
          </cell>
          <cell r="AZ232">
            <v>1258.365</v>
          </cell>
          <cell r="BA232">
            <v>1260.6769999999999</v>
          </cell>
          <cell r="BB232">
            <v>1262.5440000000001</v>
          </cell>
          <cell r="BC232">
            <v>1264.7809999999999</v>
          </cell>
          <cell r="BD232">
            <v>1267.98</v>
          </cell>
          <cell r="BE232">
            <v>1272.383</v>
          </cell>
          <cell r="BF232">
            <v>1277.8399999999999</v>
          </cell>
          <cell r="BG232">
            <v>1284.0519999999999</v>
          </cell>
          <cell r="BH232">
            <v>1290.5350000000001</v>
          </cell>
          <cell r="BI232">
            <v>1296.933</v>
          </cell>
          <cell r="BJ232">
            <v>1303.1410000000001</v>
          </cell>
          <cell r="BK232">
            <v>1309.26</v>
          </cell>
          <cell r="BL232">
            <v>1315.3720000000001</v>
          </cell>
          <cell r="BM232">
            <v>1321.624</v>
          </cell>
          <cell r="BN232">
            <v>1328.095</v>
          </cell>
          <cell r="BO232">
            <v>1334.79</v>
          </cell>
          <cell r="BP232">
            <v>1341.579</v>
          </cell>
          <cell r="BQ232">
            <v>1348.24</v>
          </cell>
          <cell r="BR232">
            <v>1354.4829999999999</v>
          </cell>
          <cell r="BS232">
            <v>1360.088</v>
          </cell>
        </row>
        <row r="233">
          <cell r="E233">
            <v>796</v>
          </cell>
          <cell r="F233">
            <v>5.0469999999999997</v>
          </cell>
          <cell r="G233">
            <v>4.984</v>
          </cell>
          <cell r="H233">
            <v>4.9770000000000003</v>
          </cell>
          <cell r="I233">
            <v>5.016</v>
          </cell>
          <cell r="J233">
            <v>5.0940000000000003</v>
          </cell>
          <cell r="K233">
            <v>5.1980000000000004</v>
          </cell>
          <cell r="L233">
            <v>5.3179999999999996</v>
          </cell>
          <cell r="M233">
            <v>5.4420000000000002</v>
          </cell>
          <cell r="N233">
            <v>5.5579999999999998</v>
          </cell>
          <cell r="O233">
            <v>5.6559999999999997</v>
          </cell>
          <cell r="P233">
            <v>5.7240000000000002</v>
          </cell>
          <cell r="Q233">
            <v>5.76</v>
          </cell>
          <cell r="R233">
            <v>5.7619999999999996</v>
          </cell>
          <cell r="S233">
            <v>5.7409999999999997</v>
          </cell>
          <cell r="T233">
            <v>5.7050000000000001</v>
          </cell>
          <cell r="U233">
            <v>5.6689999999999996</v>
          </cell>
          <cell r="V233">
            <v>5.6289999999999996</v>
          </cell>
          <cell r="W233">
            <v>5.5890000000000004</v>
          </cell>
          <cell r="X233">
            <v>5.5629999999999997</v>
          </cell>
          <cell r="Y233">
            <v>5.5730000000000004</v>
          </cell>
          <cell r="Z233">
            <v>5.6319999999999997</v>
          </cell>
          <cell r="AA233">
            <v>5.75</v>
          </cell>
          <cell r="AB233">
            <v>5.9240000000000004</v>
          </cell>
          <cell r="AC233">
            <v>6.1319999999999997</v>
          </cell>
          <cell r="AD233">
            <v>6.3460000000000001</v>
          </cell>
          <cell r="AE233">
            <v>6.5460000000000003</v>
          </cell>
          <cell r="AF233">
            <v>6.7229999999999999</v>
          </cell>
          <cell r="AG233">
            <v>6.8860000000000001</v>
          </cell>
          <cell r="AH233">
            <v>7.0570000000000004</v>
          </cell>
          <cell r="AI233">
            <v>7.2619999999999996</v>
          </cell>
          <cell r="AJ233">
            <v>7.5250000000000004</v>
          </cell>
          <cell r="AK233">
            <v>7.8550000000000004</v>
          </cell>
          <cell r="AL233">
            <v>8.2449999999999992</v>
          </cell>
          <cell r="AM233">
            <v>8.6709999999999994</v>
          </cell>
          <cell r="AN233">
            <v>9.0969999999999995</v>
          </cell>
          <cell r="AO233">
            <v>9.5020000000000007</v>
          </cell>
          <cell r="AP233">
            <v>9.8729999999999993</v>
          </cell>
          <cell r="AQ233">
            <v>10.224</v>
          </cell>
          <cell r="AR233">
            <v>10.587999999999999</v>
          </cell>
          <cell r="AS233">
            <v>11.019</v>
          </cell>
          <cell r="AT233">
            <v>11.55</v>
          </cell>
          <cell r="AU233">
            <v>12.205</v>
          </cell>
          <cell r="AV233">
            <v>12.97</v>
          </cell>
          <cell r="AW233">
            <v>13.792999999999999</v>
          </cell>
          <cell r="AX233">
            <v>14.597</v>
          </cell>
          <cell r="AY233">
            <v>15.334</v>
          </cell>
          <cell r="AZ233">
            <v>15.967000000000001</v>
          </cell>
          <cell r="BA233">
            <v>16.527000000000001</v>
          </cell>
          <cell r="BB233">
            <v>17.114000000000001</v>
          </cell>
          <cell r="BC233">
            <v>17.866</v>
          </cell>
          <cell r="BD233">
            <v>18.876000000000001</v>
          </cell>
          <cell r="BE233">
            <v>20.186</v>
          </cell>
          <cell r="BF233">
            <v>21.74</v>
          </cell>
          <cell r="BG233">
            <v>23.411999999999999</v>
          </cell>
          <cell r="BH233">
            <v>25.024999999999999</v>
          </cell>
          <cell r="BI233">
            <v>26.45</v>
          </cell>
          <cell r="BJ233">
            <v>27.641999999999999</v>
          </cell>
          <cell r="BK233">
            <v>28.638000000000002</v>
          </cell>
          <cell r="BL233">
            <v>29.481000000000002</v>
          </cell>
          <cell r="BM233">
            <v>30.247</v>
          </cell>
          <cell r="BN233">
            <v>30.992999999999999</v>
          </cell>
          <cell r="BO233">
            <v>31.727</v>
          </cell>
          <cell r="BP233">
            <v>32.43</v>
          </cell>
          <cell r="BQ233">
            <v>33.103000000000002</v>
          </cell>
          <cell r="BR233">
            <v>33.74</v>
          </cell>
          <cell r="BS233">
            <v>34.338999999999999</v>
          </cell>
        </row>
        <row r="234">
          <cell r="E234">
            <v>850</v>
          </cell>
          <cell r="F234">
            <v>26.795000000000002</v>
          </cell>
          <cell r="G234">
            <v>27.295000000000002</v>
          </cell>
          <cell r="H234">
            <v>27.974</v>
          </cell>
          <cell r="I234">
            <v>28.613</v>
          </cell>
          <cell r="J234">
            <v>29.088000000000001</v>
          </cell>
          <cell r="K234">
            <v>29.361999999999998</v>
          </cell>
          <cell r="L234">
            <v>29.498000000000001</v>
          </cell>
          <cell r="M234">
            <v>29.65</v>
          </cell>
          <cell r="N234">
            <v>30.045000000000002</v>
          </cell>
          <cell r="O234">
            <v>30.96</v>
          </cell>
          <cell r="P234">
            <v>32.631999999999998</v>
          </cell>
          <cell r="Q234">
            <v>35.177999999999997</v>
          </cell>
          <cell r="R234">
            <v>38.512999999999998</v>
          </cell>
          <cell r="S234">
            <v>42.314</v>
          </cell>
          <cell r="T234">
            <v>46.122</v>
          </cell>
          <cell r="U234">
            <v>49.61</v>
          </cell>
          <cell r="V234">
            <v>52.624000000000002</v>
          </cell>
          <cell r="W234">
            <v>55.277999999999999</v>
          </cell>
          <cell r="X234">
            <v>57.831000000000003</v>
          </cell>
          <cell r="Y234">
            <v>60.674999999999997</v>
          </cell>
          <cell r="Z234">
            <v>64.069999999999993</v>
          </cell>
          <cell r="AA234">
            <v>68.102000000000004</v>
          </cell>
          <cell r="AB234">
            <v>72.61</v>
          </cell>
          <cell r="AC234">
            <v>77.31</v>
          </cell>
          <cell r="AD234">
            <v>81.802000000000007</v>
          </cell>
          <cell r="AE234">
            <v>85.79</v>
          </cell>
          <cell r="AF234">
            <v>89.168999999999997</v>
          </cell>
          <cell r="AG234">
            <v>92.007999999999996</v>
          </cell>
          <cell r="AH234">
            <v>94.399000000000001</v>
          </cell>
          <cell r="AI234">
            <v>96.498000000000005</v>
          </cell>
          <cell r="AJ234">
            <v>98.423000000000002</v>
          </cell>
          <cell r="AK234">
            <v>100.21599999999999</v>
          </cell>
          <cell r="AL234">
            <v>101.827</v>
          </cell>
          <cell r="AM234">
            <v>103.17700000000001</v>
          </cell>
          <cell r="AN234">
            <v>104.146</v>
          </cell>
          <cell r="AO234">
            <v>104.66800000000001</v>
          </cell>
          <cell r="AP234">
            <v>104.69799999999999</v>
          </cell>
          <cell r="AQ234">
            <v>104.319</v>
          </cell>
          <cell r="AR234">
            <v>103.761</v>
          </cell>
          <cell r="AS234">
            <v>103.333</v>
          </cell>
          <cell r="AT234">
            <v>103.253</v>
          </cell>
          <cell r="AU234">
            <v>103.613</v>
          </cell>
          <cell r="AV234">
            <v>104.342</v>
          </cell>
          <cell r="AW234">
            <v>105.29300000000001</v>
          </cell>
          <cell r="AX234">
            <v>106.241</v>
          </cell>
          <cell r="AY234">
            <v>107.018</v>
          </cell>
          <cell r="AZ234">
            <v>107.589</v>
          </cell>
          <cell r="BA234">
            <v>108.002</v>
          </cell>
          <cell r="BB234">
            <v>108.271</v>
          </cell>
          <cell r="BC234">
            <v>108.431</v>
          </cell>
          <cell r="BD234">
            <v>108.511</v>
          </cell>
          <cell r="BE234">
            <v>108.509</v>
          </cell>
          <cell r="BF234">
            <v>108.417</v>
          </cell>
          <cell r="BG234">
            <v>108.25</v>
          </cell>
          <cell r="BH234">
            <v>108.02800000000001</v>
          </cell>
          <cell r="BI234">
            <v>107.768</v>
          </cell>
          <cell r="BJ234">
            <v>107.477</v>
          </cell>
          <cell r="BK234">
            <v>107.166</v>
          </cell>
          <cell r="BL234">
            <v>106.85899999999999</v>
          </cell>
          <cell r="BM234">
            <v>106.59</v>
          </cell>
          <cell r="BN234">
            <v>106.38200000000001</v>
          </cell>
          <cell r="BO234">
            <v>106.244</v>
          </cell>
          <cell r="BP234">
            <v>106.17400000000001</v>
          </cell>
          <cell r="BQ234">
            <v>106.166</v>
          </cell>
          <cell r="BR234">
            <v>106.208</v>
          </cell>
          <cell r="BS234">
            <v>106.291</v>
          </cell>
        </row>
        <row r="235">
          <cell r="E235">
            <v>916</v>
          </cell>
          <cell r="F235">
            <v>38028.822999999997</v>
          </cell>
          <cell r="G235">
            <v>39106.072</v>
          </cell>
          <cell r="H235">
            <v>40254.124000000003</v>
          </cell>
          <cell r="I235">
            <v>41465.328000000001</v>
          </cell>
          <cell r="J235">
            <v>42733.637000000002</v>
          </cell>
          <cell r="K235">
            <v>44054.574000000001</v>
          </cell>
          <cell r="L235">
            <v>45425.307000000001</v>
          </cell>
          <cell r="M235">
            <v>46844.588000000003</v>
          </cell>
          <cell r="N235">
            <v>48312.561000000002</v>
          </cell>
          <cell r="O235">
            <v>49830.45</v>
          </cell>
          <cell r="P235">
            <v>51399.629000000001</v>
          </cell>
          <cell r="Q235">
            <v>53020.601999999999</v>
          </cell>
          <cell r="R235">
            <v>54692.142</v>
          </cell>
          <cell r="S235">
            <v>56410.925000000003</v>
          </cell>
          <cell r="T235">
            <v>58172.561000000002</v>
          </cell>
          <cell r="U235">
            <v>59974.752</v>
          </cell>
          <cell r="V235">
            <v>61811.040999999997</v>
          </cell>
          <cell r="W235">
            <v>63683.709000000003</v>
          </cell>
          <cell r="X235">
            <v>65609.34</v>
          </cell>
          <cell r="Y235">
            <v>67610.722999999998</v>
          </cell>
          <cell r="Z235">
            <v>69701.584000000003</v>
          </cell>
          <cell r="AA235">
            <v>71887.994000000006</v>
          </cell>
          <cell r="AB235">
            <v>74157.047000000006</v>
          </cell>
          <cell r="AC235">
            <v>76479.945000000007</v>
          </cell>
          <cell r="AD235">
            <v>78816.982999999993</v>
          </cell>
          <cell r="AE235">
            <v>81138.248000000007</v>
          </cell>
          <cell r="AF235">
            <v>83434.456000000006</v>
          </cell>
          <cell r="AG235">
            <v>85709.619000000006</v>
          </cell>
          <cell r="AH235">
            <v>87963.676999999996</v>
          </cell>
          <cell r="AI235">
            <v>90200.83</v>
          </cell>
          <cell r="AJ235">
            <v>92425.092000000004</v>
          </cell>
          <cell r="AK235">
            <v>94634.455000000002</v>
          </cell>
          <cell r="AL235">
            <v>96828.737999999998</v>
          </cell>
          <cell r="AM235">
            <v>99016.97</v>
          </cell>
          <cell r="AN235">
            <v>101211.429</v>
          </cell>
          <cell r="AO235">
            <v>103422.024</v>
          </cell>
          <cell r="AP235">
            <v>105648.95699999999</v>
          </cell>
          <cell r="AQ235">
            <v>107892.53599999999</v>
          </cell>
          <cell r="AR235">
            <v>110162.43700000001</v>
          </cell>
          <cell r="AS235">
            <v>112470.254</v>
          </cell>
          <cell r="AT235">
            <v>114822.516</v>
          </cell>
          <cell r="AU235">
            <v>117221.321</v>
          </cell>
          <cell r="AV235">
            <v>119659.242</v>
          </cell>
          <cell r="AW235">
            <v>122120.74400000001</v>
          </cell>
          <cell r="AX235">
            <v>124584.43700000001</v>
          </cell>
          <cell r="AY235">
            <v>127032.42</v>
          </cell>
          <cell r="AZ235">
            <v>129467.989</v>
          </cell>
          <cell r="BA235">
            <v>131889.57</v>
          </cell>
          <cell r="BB235">
            <v>134269.53099999999</v>
          </cell>
          <cell r="BC235">
            <v>136573.182</v>
          </cell>
          <cell r="BD235">
            <v>138780.47099999999</v>
          </cell>
          <cell r="BE235">
            <v>140871.75599999999</v>
          </cell>
          <cell r="BF235">
            <v>142865.68100000001</v>
          </cell>
          <cell r="BG235">
            <v>144827.486</v>
          </cell>
          <cell r="BH235">
            <v>146847.41200000001</v>
          </cell>
          <cell r="BI235">
            <v>148988.54800000001</v>
          </cell>
          <cell r="BJ235">
            <v>151275.84099999999</v>
          </cell>
          <cell r="BK235">
            <v>153685.53899999999</v>
          </cell>
          <cell r="BL235">
            <v>156172.05100000001</v>
          </cell>
          <cell r="BM235">
            <v>158666.29300000001</v>
          </cell>
          <cell r="BN235">
            <v>161117.09400000001</v>
          </cell>
          <cell r="BO235">
            <v>163510.61900000001</v>
          </cell>
          <cell r="BP235">
            <v>165859.736</v>
          </cell>
          <cell r="BQ235">
            <v>168171.56</v>
          </cell>
          <cell r="BR235">
            <v>170461.473</v>
          </cell>
          <cell r="BS235">
            <v>172740.07399999999</v>
          </cell>
        </row>
        <row r="236">
          <cell r="E236">
            <v>84</v>
          </cell>
          <cell r="F236">
            <v>68.918000000000006</v>
          </cell>
          <cell r="G236">
            <v>71.242999999999995</v>
          </cell>
          <cell r="H236">
            <v>73.427999999999997</v>
          </cell>
          <cell r="I236">
            <v>75.554000000000002</v>
          </cell>
          <cell r="J236">
            <v>77.686000000000007</v>
          </cell>
          <cell r="K236">
            <v>79.872</v>
          </cell>
          <cell r="L236">
            <v>82.14</v>
          </cell>
          <cell r="M236">
            <v>84.503</v>
          </cell>
          <cell r="N236">
            <v>86.956000000000003</v>
          </cell>
          <cell r="O236">
            <v>89.483000000000004</v>
          </cell>
          <cell r="P236">
            <v>92.067999999999998</v>
          </cell>
          <cell r="Q236">
            <v>94.700999999999993</v>
          </cell>
          <cell r="R236">
            <v>97.388999999999996</v>
          </cell>
          <cell r="S236">
            <v>100.166</v>
          </cell>
          <cell r="T236">
            <v>103.07</v>
          </cell>
          <cell r="U236">
            <v>106.121</v>
          </cell>
          <cell r="V236">
            <v>109.34399999999999</v>
          </cell>
          <cell r="W236">
            <v>112.699</v>
          </cell>
          <cell r="X236">
            <v>116.06100000000001</v>
          </cell>
          <cell r="Y236">
            <v>119.26</v>
          </cell>
          <cell r="Z236">
            <v>122.179</v>
          </cell>
          <cell r="AA236">
            <v>124.792</v>
          </cell>
          <cell r="AB236">
            <v>127.148</v>
          </cell>
          <cell r="AC236">
            <v>129.29400000000001</v>
          </cell>
          <cell r="AD236">
            <v>131.30600000000001</v>
          </cell>
          <cell r="AE236">
            <v>133.261</v>
          </cell>
          <cell r="AF236">
            <v>135.14500000000001</v>
          </cell>
          <cell r="AG236">
            <v>136.99100000000001</v>
          </cell>
          <cell r="AH236">
            <v>138.97200000000001</v>
          </cell>
          <cell r="AI236">
            <v>141.30799999999999</v>
          </cell>
          <cell r="AJ236">
            <v>144.15100000000001</v>
          </cell>
          <cell r="AK236">
            <v>147.566</v>
          </cell>
          <cell r="AL236">
            <v>151.49799999999999</v>
          </cell>
          <cell r="AM236">
            <v>155.82</v>
          </cell>
          <cell r="AN236">
            <v>160.34200000000001</v>
          </cell>
          <cell r="AO236">
            <v>164.916</v>
          </cell>
          <cell r="AP236">
            <v>169.57</v>
          </cell>
          <cell r="AQ236">
            <v>174.32599999999999</v>
          </cell>
          <cell r="AR236">
            <v>179.02500000000001</v>
          </cell>
          <cell r="AS236">
            <v>183.47</v>
          </cell>
          <cell r="AT236">
            <v>187.55199999999999</v>
          </cell>
          <cell r="AU236">
            <v>191.12700000000001</v>
          </cell>
          <cell r="AV236">
            <v>194.321</v>
          </cell>
          <cell r="AW236">
            <v>197.61500000000001</v>
          </cell>
          <cell r="AX236">
            <v>201.678</v>
          </cell>
          <cell r="AY236">
            <v>206.96199999999999</v>
          </cell>
          <cell r="AZ236">
            <v>213.67400000000001</v>
          </cell>
          <cell r="BA236">
            <v>221.608</v>
          </cell>
          <cell r="BB236">
            <v>230.28899999999999</v>
          </cell>
          <cell r="BC236">
            <v>239.024</v>
          </cell>
          <cell r="BD236">
            <v>247.31200000000001</v>
          </cell>
          <cell r="BE236">
            <v>254.989</v>
          </cell>
          <cell r="BF236">
            <v>262.202</v>
          </cell>
          <cell r="BG236">
            <v>269.13200000000001</v>
          </cell>
          <cell r="BH236">
            <v>276.08499999999998</v>
          </cell>
          <cell r="BI236">
            <v>283.279</v>
          </cell>
          <cell r="BJ236">
            <v>290.75099999999998</v>
          </cell>
          <cell r="BK236">
            <v>298.40300000000002</v>
          </cell>
          <cell r="BL236">
            <v>306.16500000000002</v>
          </cell>
          <cell r="BM236">
            <v>313.92500000000001</v>
          </cell>
          <cell r="BN236">
            <v>321.60899999999998</v>
          </cell>
          <cell r="BO236">
            <v>329.19299999999998</v>
          </cell>
          <cell r="BP236">
            <v>336.70699999999999</v>
          </cell>
          <cell r="BQ236">
            <v>344.19299999999998</v>
          </cell>
          <cell r="BR236">
            <v>351.70600000000002</v>
          </cell>
          <cell r="BS236">
            <v>359.28699999999998</v>
          </cell>
        </row>
        <row r="237">
          <cell r="E237">
            <v>188</v>
          </cell>
          <cell r="F237">
            <v>959.48900000000003</v>
          </cell>
          <cell r="G237">
            <v>986.15899999999999</v>
          </cell>
          <cell r="H237">
            <v>1015.875</v>
          </cell>
          <cell r="I237">
            <v>1048.222</v>
          </cell>
          <cell r="J237">
            <v>1082.8789999999999</v>
          </cell>
          <cell r="K237">
            <v>1119.6189999999999</v>
          </cell>
          <cell r="L237">
            <v>1158.318</v>
          </cell>
          <cell r="M237">
            <v>1198.9459999999999</v>
          </cell>
          <cell r="N237">
            <v>1241.55</v>
          </cell>
          <cell r="O237">
            <v>1286.229</v>
          </cell>
          <cell r="P237">
            <v>1333.0419999999999</v>
          </cell>
          <cell r="Q237">
            <v>1381.92</v>
          </cell>
          <cell r="R237">
            <v>1432.5830000000001</v>
          </cell>
          <cell r="S237">
            <v>1484.5119999999999</v>
          </cell>
          <cell r="T237">
            <v>1537.0350000000001</v>
          </cell>
          <cell r="U237">
            <v>1589.625</v>
          </cell>
          <cell r="V237">
            <v>1642.1890000000001</v>
          </cell>
          <cell r="W237">
            <v>1694.711</v>
          </cell>
          <cell r="X237">
            <v>1746.87</v>
          </cell>
          <cell r="Y237">
            <v>1798.3150000000001</v>
          </cell>
          <cell r="Z237">
            <v>1848.873</v>
          </cell>
          <cell r="AA237">
            <v>1898.366</v>
          </cell>
          <cell r="AB237">
            <v>1947.048</v>
          </cell>
          <cell r="AC237">
            <v>1995.7439999999999</v>
          </cell>
          <cell r="AD237">
            <v>2045.58</v>
          </cell>
          <cell r="AE237">
            <v>2097.41</v>
          </cell>
          <cell r="AF237">
            <v>2151.4920000000002</v>
          </cell>
          <cell r="AG237">
            <v>2207.7269999999999</v>
          </cell>
          <cell r="AH237">
            <v>2266.1529999999998</v>
          </cell>
          <cell r="AI237">
            <v>2326.7080000000001</v>
          </cell>
          <cell r="AJ237">
            <v>2389.3090000000002</v>
          </cell>
          <cell r="AK237">
            <v>2454.127</v>
          </cell>
          <cell r="AL237">
            <v>2521.163</v>
          </cell>
          <cell r="AM237">
            <v>2589.9319999999998</v>
          </cell>
          <cell r="AN237">
            <v>2659.7719999999999</v>
          </cell>
          <cell r="AO237">
            <v>2730.2310000000002</v>
          </cell>
          <cell r="AP237">
            <v>2800.9859999999999</v>
          </cell>
          <cell r="AQ237">
            <v>2872.2139999999999</v>
          </cell>
          <cell r="AR237">
            <v>2944.56</v>
          </cell>
          <cell r="AS237">
            <v>3018.953</v>
          </cell>
          <cell r="AT237">
            <v>3095.9940000000001</v>
          </cell>
          <cell r="AU237">
            <v>3175.654</v>
          </cell>
          <cell r="AV237">
            <v>3257.4630000000002</v>
          </cell>
          <cell r="AW237">
            <v>3341.0050000000001</v>
          </cell>
          <cell r="AX237">
            <v>3425.692</v>
          </cell>
          <cell r="AY237">
            <v>3510.9250000000002</v>
          </cell>
          <cell r="AZ237">
            <v>3596.7330000000002</v>
          </cell>
          <cell r="BA237">
            <v>3682.7249999999999</v>
          </cell>
          <cell r="BB237">
            <v>3767.3690000000001</v>
          </cell>
          <cell r="BC237">
            <v>3848.7249999999999</v>
          </cell>
          <cell r="BD237">
            <v>3925.45</v>
          </cell>
          <cell r="BE237">
            <v>3996.8</v>
          </cell>
          <cell r="BF237">
            <v>4063.2080000000001</v>
          </cell>
          <cell r="BG237">
            <v>4125.97</v>
          </cell>
          <cell r="BH237">
            <v>4187.0389999999998</v>
          </cell>
          <cell r="BI237">
            <v>4247.8429999999998</v>
          </cell>
          <cell r="BJ237">
            <v>4308.79</v>
          </cell>
          <cell r="BK237">
            <v>4369.4650000000001</v>
          </cell>
          <cell r="BL237">
            <v>4429.5060000000003</v>
          </cell>
          <cell r="BM237">
            <v>4488.2610000000004</v>
          </cell>
          <cell r="BN237">
            <v>4545.2730000000001</v>
          </cell>
          <cell r="BO237">
            <v>4600.4870000000001</v>
          </cell>
          <cell r="BP237">
            <v>4654.1480000000001</v>
          </cell>
          <cell r="BQ237">
            <v>4706.433</v>
          </cell>
          <cell r="BR237">
            <v>4757.6059999999998</v>
          </cell>
          <cell r="BS237">
            <v>4807.8500000000004</v>
          </cell>
        </row>
        <row r="238">
          <cell r="E238">
            <v>222</v>
          </cell>
          <cell r="F238">
            <v>2199.8969999999999</v>
          </cell>
          <cell r="G238">
            <v>2236.5770000000002</v>
          </cell>
          <cell r="H238">
            <v>2278.3049999999998</v>
          </cell>
          <cell r="I238">
            <v>2324.558</v>
          </cell>
          <cell r="J238">
            <v>2374.9720000000002</v>
          </cell>
          <cell r="K238">
            <v>2429.3310000000001</v>
          </cell>
          <cell r="L238">
            <v>2487.5819999999999</v>
          </cell>
          <cell r="M238">
            <v>2549.8229999999999</v>
          </cell>
          <cell r="N238">
            <v>2616.2759999999998</v>
          </cell>
          <cell r="O238">
            <v>2687.2289999999998</v>
          </cell>
          <cell r="P238">
            <v>2762.8969999999999</v>
          </cell>
          <cell r="Q238">
            <v>2843.2460000000001</v>
          </cell>
          <cell r="R238">
            <v>2927.8609999999999</v>
          </cell>
          <cell r="S238">
            <v>3015.8850000000002</v>
          </cell>
          <cell r="T238">
            <v>3106.1860000000001</v>
          </cell>
          <cell r="U238">
            <v>3197.8649999999998</v>
          </cell>
          <cell r="V238">
            <v>3290.3969999999999</v>
          </cell>
          <cell r="W238">
            <v>3383.674</v>
          </cell>
          <cell r="X238">
            <v>3477.7020000000002</v>
          </cell>
          <cell r="Y238">
            <v>3572.6669999999999</v>
          </cell>
          <cell r="Z238">
            <v>3668.5920000000001</v>
          </cell>
          <cell r="AA238">
            <v>3765.252</v>
          </cell>
          <cell r="AB238">
            <v>3862.1320000000001</v>
          </cell>
          <cell r="AC238">
            <v>3958.616</v>
          </cell>
          <cell r="AD238">
            <v>4053.9580000000001</v>
          </cell>
          <cell r="AE238">
            <v>4147.5249999999996</v>
          </cell>
          <cell r="AF238">
            <v>4239.2049999999999</v>
          </cell>
          <cell r="AG238">
            <v>4328.817</v>
          </cell>
          <cell r="AH238">
            <v>4415.625</v>
          </cell>
          <cell r="AI238">
            <v>4498.7569999999996</v>
          </cell>
          <cell r="AJ238">
            <v>4577.683</v>
          </cell>
          <cell r="AK238">
            <v>4652.058</v>
          </cell>
          <cell r="AL238">
            <v>4722.2719999999999</v>
          </cell>
          <cell r="AM238">
            <v>4789.4719999999998</v>
          </cell>
          <cell r="AN238">
            <v>4855.28</v>
          </cell>
          <cell r="AO238">
            <v>4920.9319999999998</v>
          </cell>
          <cell r="AP238">
            <v>4986.5280000000002</v>
          </cell>
          <cell r="AQ238">
            <v>5051.8850000000002</v>
          </cell>
          <cell r="AR238">
            <v>5117.5770000000002</v>
          </cell>
          <cell r="AS238">
            <v>5184.2209999999995</v>
          </cell>
          <cell r="AT238">
            <v>5252.0820000000003</v>
          </cell>
          <cell r="AU238">
            <v>5321.576</v>
          </cell>
          <cell r="AV238">
            <v>5392.1419999999998</v>
          </cell>
          <cell r="AW238">
            <v>5461.8339999999998</v>
          </cell>
          <cell r="AX238">
            <v>5528.0119999999997</v>
          </cell>
          <cell r="AY238">
            <v>5588.7430000000004</v>
          </cell>
          <cell r="AZ238">
            <v>5643.3630000000003</v>
          </cell>
          <cell r="BA238">
            <v>5692.3</v>
          </cell>
          <cell r="BB238">
            <v>5736.0749999999998</v>
          </cell>
          <cell r="BC238">
            <v>5775.66</v>
          </cell>
          <cell r="BD238">
            <v>5811.8360000000002</v>
          </cell>
          <cell r="BE238">
            <v>5844.7380000000003</v>
          </cell>
          <cell r="BF238">
            <v>5874.3010000000004</v>
          </cell>
          <cell r="BG238">
            <v>5900.9290000000001</v>
          </cell>
          <cell r="BH238">
            <v>5925.0889999999999</v>
          </cell>
          <cell r="BI238">
            <v>5947.2060000000001</v>
          </cell>
          <cell r="BJ238">
            <v>5967.5559999999996</v>
          </cell>
          <cell r="BK238">
            <v>5986.4139999999998</v>
          </cell>
          <cell r="BL238">
            <v>6004.1989999999996</v>
          </cell>
          <cell r="BM238">
            <v>6021.3680000000004</v>
          </cell>
          <cell r="BN238">
            <v>6038.3059999999996</v>
          </cell>
          <cell r="BO238">
            <v>6055.2079999999996</v>
          </cell>
          <cell r="BP238">
            <v>6072.2330000000002</v>
          </cell>
          <cell r="BQ238">
            <v>6089.6440000000002</v>
          </cell>
          <cell r="BR238">
            <v>6107.7060000000001</v>
          </cell>
          <cell r="BS238">
            <v>6126.5829999999996</v>
          </cell>
        </row>
        <row r="239">
          <cell r="E239">
            <v>320</v>
          </cell>
          <cell r="F239">
            <v>3146.0729999999999</v>
          </cell>
          <cell r="G239">
            <v>3237.922</v>
          </cell>
          <cell r="H239">
            <v>3330.5479999999998</v>
          </cell>
          <cell r="I239">
            <v>3424.05</v>
          </cell>
          <cell r="J239">
            <v>3518.6080000000002</v>
          </cell>
          <cell r="K239">
            <v>3614.4769999999999</v>
          </cell>
          <cell r="L239">
            <v>3711.9949999999999</v>
          </cell>
          <cell r="M239">
            <v>3811.5770000000002</v>
          </cell>
          <cell r="N239">
            <v>3913.6979999999999</v>
          </cell>
          <cell r="O239">
            <v>4018.87</v>
          </cell>
          <cell r="P239">
            <v>4127.5550000000003</v>
          </cell>
          <cell r="Q239">
            <v>4240.0839999999998</v>
          </cell>
          <cell r="R239">
            <v>4356.5789999999997</v>
          </cell>
          <cell r="S239">
            <v>4476.9229999999998</v>
          </cell>
          <cell r="T239">
            <v>4600.8459999999995</v>
          </cell>
          <cell r="U239">
            <v>4728.2030000000004</v>
          </cell>
          <cell r="V239">
            <v>4858.88</v>
          </cell>
          <cell r="W239">
            <v>4993.1040000000003</v>
          </cell>
          <cell r="X239">
            <v>5131.4610000000002</v>
          </cell>
          <cell r="Y239">
            <v>5274.7259999999997</v>
          </cell>
          <cell r="Z239">
            <v>5423.384</v>
          </cell>
          <cell r="AA239">
            <v>5577.8239999999996</v>
          </cell>
          <cell r="AB239">
            <v>5737.72</v>
          </cell>
          <cell r="AC239">
            <v>5901.98</v>
          </cell>
          <cell r="AD239">
            <v>6069.0770000000002</v>
          </cell>
          <cell r="AE239">
            <v>6237.9629999999997</v>
          </cell>
          <cell r="AF239">
            <v>6408.0290000000005</v>
          </cell>
          <cell r="AG239">
            <v>6579.71</v>
          </cell>
          <cell r="AH239">
            <v>6754.2579999999998</v>
          </cell>
          <cell r="AI239">
            <v>6933.4920000000002</v>
          </cell>
          <cell r="AJ239">
            <v>7118.6279999999997</v>
          </cell>
          <cell r="AK239">
            <v>7310.3969999999999</v>
          </cell>
          <cell r="AL239">
            <v>7508.1610000000001</v>
          </cell>
          <cell r="AM239">
            <v>7710.1419999999998</v>
          </cell>
          <cell r="AN239">
            <v>7913.8140000000003</v>
          </cell>
          <cell r="AO239">
            <v>8117.4989999999998</v>
          </cell>
          <cell r="AP239">
            <v>8320.4979999999996</v>
          </cell>
          <cell r="AQ239">
            <v>8523.7849999999999</v>
          </cell>
          <cell r="AR239">
            <v>8729.4060000000009</v>
          </cell>
          <cell r="AS239">
            <v>8940.2849999999999</v>
          </cell>
          <cell r="AT239">
            <v>9158.5470000000005</v>
          </cell>
          <cell r="AU239">
            <v>9385</v>
          </cell>
          <cell r="AV239">
            <v>9619.1129999999994</v>
          </cell>
          <cell r="AW239">
            <v>9860.0630000000001</v>
          </cell>
          <cell r="AX239">
            <v>10106.463</v>
          </cell>
          <cell r="AY239">
            <v>10357.353999999999</v>
          </cell>
          <cell r="AZ239">
            <v>10612.3</v>
          </cell>
          <cell r="BA239">
            <v>10871.786</v>
          </cell>
          <cell r="BB239">
            <v>11136.814</v>
          </cell>
          <cell r="BC239">
            <v>11408.815000000001</v>
          </cell>
          <cell r="BD239">
            <v>11688.66</v>
          </cell>
          <cell r="BE239">
            <v>11976.725</v>
          </cell>
          <cell r="BF239">
            <v>12272.208000000001</v>
          </cell>
          <cell r="BG239">
            <v>12573.346</v>
          </cell>
          <cell r="BH239">
            <v>12877.710999999999</v>
          </cell>
          <cell r="BI239">
            <v>13183.504999999999</v>
          </cell>
          <cell r="BJ239">
            <v>13490.040999999999</v>
          </cell>
          <cell r="BK239">
            <v>13797.629000000001</v>
          </cell>
          <cell r="BL239">
            <v>14106.687</v>
          </cell>
          <cell r="BM239">
            <v>14418.032999999999</v>
          </cell>
          <cell r="BN239">
            <v>14732.261</v>
          </cell>
          <cell r="BO239">
            <v>15049.28</v>
          </cell>
          <cell r="BP239">
            <v>15368.759</v>
          </cell>
          <cell r="BQ239">
            <v>15690.793</v>
          </cell>
          <cell r="BR239">
            <v>16015.494000000001</v>
          </cell>
          <cell r="BS239">
            <v>16342.897000000001</v>
          </cell>
        </row>
        <row r="240">
          <cell r="E240">
            <v>340</v>
          </cell>
          <cell r="F240">
            <v>1487.2349999999999</v>
          </cell>
          <cell r="G240">
            <v>1524.9739999999999</v>
          </cell>
          <cell r="H240">
            <v>1568.424</v>
          </cell>
          <cell r="I240">
            <v>1615.739</v>
          </cell>
          <cell r="J240">
            <v>1665.566</v>
          </cell>
          <cell r="K240">
            <v>1717.0450000000001</v>
          </cell>
          <cell r="L240">
            <v>1769.8340000000001</v>
          </cell>
          <cell r="M240">
            <v>1824.0809999999999</v>
          </cell>
          <cell r="N240">
            <v>1880.356</v>
          </cell>
          <cell r="O240">
            <v>1939.5160000000001</v>
          </cell>
          <cell r="P240">
            <v>2002.3330000000001</v>
          </cell>
          <cell r="Q240">
            <v>2069.085</v>
          </cell>
          <cell r="R240">
            <v>2139.2080000000001</v>
          </cell>
          <cell r="S240">
            <v>2211.1439999999998</v>
          </cell>
          <cell r="T240">
            <v>2282.7640000000001</v>
          </cell>
          <cell r="U240">
            <v>2352.6370000000002</v>
          </cell>
          <cell r="V240">
            <v>2420.2339999999999</v>
          </cell>
          <cell r="W240">
            <v>2486.288</v>
          </cell>
          <cell r="X240">
            <v>2552.1999999999998</v>
          </cell>
          <cell r="Y240">
            <v>2620.0140000000001</v>
          </cell>
          <cell r="Z240">
            <v>2691.3090000000002</v>
          </cell>
          <cell r="AA240">
            <v>2766.444</v>
          </cell>
          <cell r="AB240">
            <v>2845.26</v>
          </cell>
          <cell r="AC240">
            <v>2928.19</v>
          </cell>
          <cell r="AD240">
            <v>3015.6060000000002</v>
          </cell>
          <cell r="AE240">
            <v>3107.7350000000001</v>
          </cell>
          <cell r="AF240">
            <v>3204.8829999999998</v>
          </cell>
          <cell r="AG240">
            <v>3306.9879999999998</v>
          </cell>
          <cell r="AH240">
            <v>3413.4259999999999</v>
          </cell>
          <cell r="AI240">
            <v>3523.2829999999999</v>
          </cell>
          <cell r="AJ240">
            <v>3635.8620000000001</v>
          </cell>
          <cell r="AK240">
            <v>3750.8429999999998</v>
          </cell>
          <cell r="AL240">
            <v>3868.2959999999998</v>
          </cell>
          <cell r="AM240">
            <v>3988.3710000000001</v>
          </cell>
          <cell r="AN240">
            <v>4111.3689999999997</v>
          </cell>
          <cell r="AO240">
            <v>4237.4359999999997</v>
          </cell>
          <cell r="AP240">
            <v>4366.4009999999998</v>
          </cell>
          <cell r="AQ240">
            <v>4497.875</v>
          </cell>
          <cell r="AR240">
            <v>4631.491</v>
          </cell>
          <cell r="AS240">
            <v>4766.8019999999997</v>
          </cell>
          <cell r="AT240">
            <v>4903.3630000000003</v>
          </cell>
          <cell r="AU240">
            <v>5041.05</v>
          </cell>
          <cell r="AV240">
            <v>5179.5569999999998</v>
          </cell>
          <cell r="AW240">
            <v>5318.0420000000004</v>
          </cell>
          <cell r="AX240">
            <v>5455.4809999999998</v>
          </cell>
          <cell r="AY240">
            <v>5591.1360000000004</v>
          </cell>
          <cell r="AZ240">
            <v>5724.5870000000004</v>
          </cell>
          <cell r="BA240">
            <v>5855.9459999999999</v>
          </cell>
          <cell r="BB240">
            <v>5985.6750000000002</v>
          </cell>
          <cell r="BC240">
            <v>6114.5339999999997</v>
          </cell>
          <cell r="BD240">
            <v>6243.08</v>
          </cell>
          <cell r="BE240">
            <v>6371.3040000000001</v>
          </cell>
          <cell r="BF240">
            <v>6499.0010000000002</v>
          </cell>
          <cell r="BG240">
            <v>6626.3040000000001</v>
          </cell>
          <cell r="BH240">
            <v>6753.3519999999999</v>
          </cell>
          <cell r="BI240">
            <v>6880.1809999999996</v>
          </cell>
          <cell r="BJ240">
            <v>7007.0290000000005</v>
          </cell>
          <cell r="BK240">
            <v>7133.7370000000001</v>
          </cell>
          <cell r="BL240">
            <v>7259.47</v>
          </cell>
          <cell r="BM240">
            <v>7383.098</v>
          </cell>
          <cell r="BN240">
            <v>7503.875</v>
          </cell>
          <cell r="BO240">
            <v>7621.4139999999998</v>
          </cell>
          <cell r="BP240">
            <v>7736.1310000000003</v>
          </cell>
          <cell r="BQ240">
            <v>7849.0590000000002</v>
          </cell>
          <cell r="BR240">
            <v>7961.68</v>
          </cell>
          <cell r="BS240">
            <v>8075.06</v>
          </cell>
        </row>
        <row r="241">
          <cell r="E241">
            <v>484</v>
          </cell>
          <cell r="F241">
            <v>28012.558000000001</v>
          </cell>
          <cell r="G241">
            <v>28836.111000000001</v>
          </cell>
          <cell r="H241">
            <v>29711.632000000001</v>
          </cell>
          <cell r="I241">
            <v>30634.216</v>
          </cell>
          <cell r="J241">
            <v>31599.804</v>
          </cell>
          <cell r="K241">
            <v>32605.178</v>
          </cell>
          <cell r="L241">
            <v>33647.985999999997</v>
          </cell>
          <cell r="M241">
            <v>34726.718999999997</v>
          </cell>
          <cell r="N241">
            <v>35840.644999999997</v>
          </cell>
          <cell r="O241">
            <v>36989.692000000003</v>
          </cell>
          <cell r="P241">
            <v>38174.114000000001</v>
          </cell>
          <cell r="Q241">
            <v>39394.125</v>
          </cell>
          <cell r="R241">
            <v>40649.589999999997</v>
          </cell>
          <cell r="S241">
            <v>41939.879999999997</v>
          </cell>
          <cell r="T241">
            <v>43264.267</v>
          </cell>
          <cell r="U241">
            <v>44623.040999999997</v>
          </cell>
          <cell r="V241">
            <v>46010.959000000003</v>
          </cell>
          <cell r="W241">
            <v>47429.553</v>
          </cell>
          <cell r="X241">
            <v>48893.607000000004</v>
          </cell>
          <cell r="Y241">
            <v>50423.127</v>
          </cell>
          <cell r="Z241">
            <v>52029.858999999997</v>
          </cell>
          <cell r="AA241">
            <v>53719.546999999999</v>
          </cell>
          <cell r="AB241">
            <v>55480.125</v>
          </cell>
          <cell r="AC241">
            <v>57283.360999999997</v>
          </cell>
          <cell r="AD241">
            <v>59090.495000000003</v>
          </cell>
          <cell r="AE241">
            <v>60872.398999999998</v>
          </cell>
          <cell r="AF241">
            <v>62620.087</v>
          </cell>
          <cell r="AG241">
            <v>64337.694000000003</v>
          </cell>
          <cell r="AH241">
            <v>66025.612999999998</v>
          </cell>
          <cell r="AI241">
            <v>67688.532999999996</v>
          </cell>
          <cell r="AJ241">
            <v>69330.974000000002</v>
          </cell>
          <cell r="AK241">
            <v>70950.740999999995</v>
          </cell>
          <cell r="AL241">
            <v>72547.994999999995</v>
          </cell>
          <cell r="AM241">
            <v>74133.376999999993</v>
          </cell>
          <cell r="AN241">
            <v>75721.210000000006</v>
          </cell>
          <cell r="AO241">
            <v>77322.642999999996</v>
          </cell>
          <cell r="AP241">
            <v>78939.441000000006</v>
          </cell>
          <cell r="AQ241">
            <v>80571.066999999995</v>
          </cell>
          <cell r="AR241">
            <v>82223.153000000006</v>
          </cell>
          <cell r="AS241">
            <v>83901.642999999996</v>
          </cell>
          <cell r="AT241">
            <v>85609.403999999995</v>
          </cell>
          <cell r="AU241">
            <v>87347.207999999999</v>
          </cell>
          <cell r="AV241">
            <v>89110.043000000005</v>
          </cell>
          <cell r="AW241">
            <v>90887.096999999994</v>
          </cell>
          <cell r="AX241">
            <v>92663.664000000004</v>
          </cell>
          <cell r="AY241">
            <v>94426.945999999996</v>
          </cell>
          <cell r="AZ241">
            <v>96181.71</v>
          </cell>
          <cell r="BA241">
            <v>97925.824999999997</v>
          </cell>
          <cell r="BB241">
            <v>99632.298999999999</v>
          </cell>
          <cell r="BC241">
            <v>101266.57</v>
          </cell>
          <cell r="BD241">
            <v>102808.59</v>
          </cell>
          <cell r="BE241">
            <v>104239.56299999999</v>
          </cell>
          <cell r="BF241">
            <v>105578.29700000001</v>
          </cell>
          <cell r="BG241">
            <v>106888.41800000001</v>
          </cell>
          <cell r="BH241">
            <v>108257.822</v>
          </cell>
          <cell r="BI241">
            <v>109747.906</v>
          </cell>
          <cell r="BJ241">
            <v>111382.857</v>
          </cell>
          <cell r="BK241">
            <v>113139.374</v>
          </cell>
          <cell r="BL241">
            <v>114972.821</v>
          </cell>
          <cell r="BM241">
            <v>116815.61199999999</v>
          </cell>
          <cell r="BN241">
            <v>118617.542</v>
          </cell>
          <cell r="BO241">
            <v>120365.27099999999</v>
          </cell>
          <cell r="BP241">
            <v>122070.963</v>
          </cell>
          <cell r="BQ241">
            <v>123740.109</v>
          </cell>
          <cell r="BR241">
            <v>125385.833</v>
          </cell>
          <cell r="BS241">
            <v>127017.224</v>
          </cell>
        </row>
        <row r="242">
          <cell r="E242">
            <v>558</v>
          </cell>
          <cell r="F242">
            <v>1294.9929999999999</v>
          </cell>
          <cell r="G242">
            <v>1331.74</v>
          </cell>
          <cell r="H242">
            <v>1371.5250000000001</v>
          </cell>
          <cell r="I242">
            <v>1414.2760000000001</v>
          </cell>
          <cell r="J242">
            <v>1459.85</v>
          </cell>
          <cell r="K242">
            <v>1508.02</v>
          </cell>
          <cell r="L242">
            <v>1558.473</v>
          </cell>
          <cell r="M242">
            <v>1610.819</v>
          </cell>
          <cell r="N242">
            <v>1664.607</v>
          </cell>
          <cell r="O242">
            <v>1719.364</v>
          </cell>
          <cell r="P242">
            <v>1774.6959999999999</v>
          </cell>
          <cell r="Q242">
            <v>1830.4</v>
          </cell>
          <cell r="R242">
            <v>1886.56</v>
          </cell>
          <cell r="S242">
            <v>1943.5909999999999</v>
          </cell>
          <cell r="T242">
            <v>2002.1189999999999</v>
          </cell>
          <cell r="U242">
            <v>2062.6329999999998</v>
          </cell>
          <cell r="V242">
            <v>2125.2330000000002</v>
          </cell>
          <cell r="W242">
            <v>2189.88</v>
          </cell>
          <cell r="X242">
            <v>2256.779</v>
          </cell>
          <cell r="Y242">
            <v>2326.136</v>
          </cell>
          <cell r="Z242">
            <v>2398.0949999999998</v>
          </cell>
          <cell r="AA242">
            <v>2472.6559999999999</v>
          </cell>
          <cell r="AB242">
            <v>2549.779</v>
          </cell>
          <cell r="AC242">
            <v>2629.5030000000002</v>
          </cell>
          <cell r="AD242">
            <v>2711.8470000000002</v>
          </cell>
          <cell r="AE242">
            <v>2796.748</v>
          </cell>
          <cell r="AF242">
            <v>2884.1559999999999</v>
          </cell>
          <cell r="AG242">
            <v>2973.8049999999998</v>
          </cell>
          <cell r="AH242">
            <v>3065.1179999999999</v>
          </cell>
          <cell r="AI242">
            <v>3157.3560000000002</v>
          </cell>
          <cell r="AJ242">
            <v>3249.91</v>
          </cell>
          <cell r="AK242">
            <v>3342.6660000000002</v>
          </cell>
          <cell r="AL242">
            <v>3435.527</v>
          </cell>
          <cell r="AM242">
            <v>3527.9349999999999</v>
          </cell>
          <cell r="AN242">
            <v>3619.252</v>
          </cell>
          <cell r="AO242">
            <v>3709.0909999999999</v>
          </cell>
          <cell r="AP242">
            <v>3796.9140000000002</v>
          </cell>
          <cell r="AQ242">
            <v>3882.94</v>
          </cell>
          <cell r="AR242">
            <v>3968.453</v>
          </cell>
          <cell r="AS242">
            <v>4055.2620000000002</v>
          </cell>
          <cell r="AT242">
            <v>4144.5640000000003</v>
          </cell>
          <cell r="AU242">
            <v>4236.8050000000003</v>
          </cell>
          <cell r="AV242">
            <v>4331.2730000000001</v>
          </cell>
          <cell r="AW242">
            <v>4426.5770000000002</v>
          </cell>
          <cell r="AX242">
            <v>4520.7269999999999</v>
          </cell>
          <cell r="AY242">
            <v>4612.2290000000003</v>
          </cell>
          <cell r="AZ242">
            <v>4700.777</v>
          </cell>
          <cell r="BA242">
            <v>4786.6409999999996</v>
          </cell>
          <cell r="BB242">
            <v>4869.6270000000004</v>
          </cell>
          <cell r="BC242">
            <v>4949.6610000000001</v>
          </cell>
          <cell r="BD242">
            <v>5026.7920000000004</v>
          </cell>
          <cell r="BE242">
            <v>5100.75</v>
          </cell>
          <cell r="BF242">
            <v>5171.7359999999999</v>
          </cell>
          <cell r="BG242">
            <v>5240.8760000000002</v>
          </cell>
          <cell r="BH242">
            <v>5309.7030000000004</v>
          </cell>
          <cell r="BI242">
            <v>5379.3270000000002</v>
          </cell>
          <cell r="BJ242">
            <v>5450.2169999999996</v>
          </cell>
          <cell r="BK242">
            <v>5522.1189999999997</v>
          </cell>
          <cell r="BL242">
            <v>5594.5240000000003</v>
          </cell>
          <cell r="BM242">
            <v>5666.5950000000003</v>
          </cell>
          <cell r="BN242">
            <v>5737.7219999999998</v>
          </cell>
          <cell r="BO242">
            <v>5807.7870000000003</v>
          </cell>
          <cell r="BP242">
            <v>5877.0339999999997</v>
          </cell>
          <cell r="BQ242">
            <v>5945.6459999999997</v>
          </cell>
          <cell r="BR242">
            <v>6013.9129999999996</v>
          </cell>
          <cell r="BS242">
            <v>6082.0320000000002</v>
          </cell>
        </row>
        <row r="243">
          <cell r="E243">
            <v>591</v>
          </cell>
          <cell r="F243">
            <v>859.66</v>
          </cell>
          <cell r="G243">
            <v>881.346</v>
          </cell>
          <cell r="H243">
            <v>904.38699999999994</v>
          </cell>
          <cell r="I243">
            <v>928.71299999999997</v>
          </cell>
          <cell r="J243">
            <v>954.27200000000005</v>
          </cell>
          <cell r="K243">
            <v>981.03200000000004</v>
          </cell>
          <cell r="L243">
            <v>1008.979</v>
          </cell>
          <cell r="M243">
            <v>1038.1199999999999</v>
          </cell>
          <cell r="N243">
            <v>1068.473</v>
          </cell>
          <cell r="O243">
            <v>1100.067</v>
          </cell>
          <cell r="P243">
            <v>1132.924</v>
          </cell>
          <cell r="Q243">
            <v>1167.0409999999999</v>
          </cell>
          <cell r="R243">
            <v>1202.3720000000001</v>
          </cell>
          <cell r="S243">
            <v>1238.8240000000001</v>
          </cell>
          <cell r="T243">
            <v>1276.2739999999999</v>
          </cell>
          <cell r="U243">
            <v>1314.627</v>
          </cell>
          <cell r="V243">
            <v>1353.8050000000001</v>
          </cell>
          <cell r="W243">
            <v>1393.8</v>
          </cell>
          <cell r="X243">
            <v>1434.66</v>
          </cell>
          <cell r="Y243">
            <v>1476.4780000000001</v>
          </cell>
          <cell r="Z243">
            <v>1519.2929999999999</v>
          </cell>
          <cell r="AA243">
            <v>1563.1130000000001</v>
          </cell>
          <cell r="AB243">
            <v>1607.835</v>
          </cell>
          <cell r="AC243">
            <v>1653.2570000000001</v>
          </cell>
          <cell r="AD243">
            <v>1699.114</v>
          </cell>
          <cell r="AE243">
            <v>1745.2070000000001</v>
          </cell>
          <cell r="AF243">
            <v>1791.4590000000001</v>
          </cell>
          <cell r="AG243">
            <v>1837.8869999999999</v>
          </cell>
          <cell r="AH243">
            <v>1884.5119999999999</v>
          </cell>
          <cell r="AI243">
            <v>1931.393</v>
          </cell>
          <cell r="AJ243">
            <v>1978.575</v>
          </cell>
          <cell r="AK243">
            <v>2026.057</v>
          </cell>
          <cell r="AL243">
            <v>2073.826</v>
          </cell>
          <cell r="AM243">
            <v>2121.9209999999998</v>
          </cell>
          <cell r="AN243">
            <v>2170.39</v>
          </cell>
          <cell r="AO243">
            <v>2219.2759999999998</v>
          </cell>
          <cell r="AP243">
            <v>2268.6190000000001</v>
          </cell>
          <cell r="AQ243">
            <v>2318.444</v>
          </cell>
          <cell r="AR243">
            <v>2368.7719999999999</v>
          </cell>
          <cell r="AS243">
            <v>2419.6179999999999</v>
          </cell>
          <cell r="AT243">
            <v>2471.0100000000002</v>
          </cell>
          <cell r="AU243">
            <v>2522.9009999999998</v>
          </cell>
          <cell r="AV243">
            <v>2575.33</v>
          </cell>
          <cell r="AW243">
            <v>2628.511</v>
          </cell>
          <cell r="AX243">
            <v>2682.72</v>
          </cell>
          <cell r="AY243">
            <v>2738.125</v>
          </cell>
          <cell r="AZ243">
            <v>2794.8449999999998</v>
          </cell>
          <cell r="BA243">
            <v>2852.739</v>
          </cell>
          <cell r="BB243">
            <v>2911.3829999999998</v>
          </cell>
          <cell r="BC243">
            <v>2970.1930000000002</v>
          </cell>
          <cell r="BD243">
            <v>3028.7510000000002</v>
          </cell>
          <cell r="BE243">
            <v>3086.8870000000002</v>
          </cell>
          <cell r="BF243">
            <v>3144.7280000000001</v>
          </cell>
          <cell r="BG243">
            <v>3202.511</v>
          </cell>
          <cell r="BH243">
            <v>3260.6109999999999</v>
          </cell>
          <cell r="BI243">
            <v>3319.3009999999999</v>
          </cell>
          <cell r="BJ243">
            <v>3378.6</v>
          </cell>
          <cell r="BK243">
            <v>3438.3980000000001</v>
          </cell>
          <cell r="BL243">
            <v>3498.6790000000001</v>
          </cell>
          <cell r="BM243">
            <v>3559.4009999999998</v>
          </cell>
          <cell r="BN243">
            <v>3620.5059999999999</v>
          </cell>
          <cell r="BO243">
            <v>3681.9789999999998</v>
          </cell>
          <cell r="BP243">
            <v>3743.761</v>
          </cell>
          <cell r="BQ243">
            <v>3805.683</v>
          </cell>
          <cell r="BR243">
            <v>3867.5349999999999</v>
          </cell>
          <cell r="BS243">
            <v>3929.1410000000001</v>
          </cell>
        </row>
        <row r="244">
          <cell r="E244">
            <v>931</v>
          </cell>
          <cell r="F244">
            <v>113739.43399999999</v>
          </cell>
          <cell r="G244">
            <v>116896.406</v>
          </cell>
          <cell r="H244">
            <v>120151.14</v>
          </cell>
          <cell r="I244">
            <v>123484.719</v>
          </cell>
          <cell r="J244">
            <v>126886.107</v>
          </cell>
          <cell r="K244">
            <v>130352.11900000001</v>
          </cell>
          <cell r="L244">
            <v>133887.96799999999</v>
          </cell>
          <cell r="M244">
            <v>137506.72500000001</v>
          </cell>
          <cell r="N244">
            <v>141227.80900000001</v>
          </cell>
          <cell r="O244">
            <v>145074.43700000001</v>
          </cell>
          <cell r="P244">
            <v>149065.99299999999</v>
          </cell>
          <cell r="Q244">
            <v>153209.883</v>
          </cell>
          <cell r="R244">
            <v>157494.41899999999</v>
          </cell>
          <cell r="S244">
            <v>161885.75099999999</v>
          </cell>
          <cell r="T244">
            <v>166336.535</v>
          </cell>
          <cell r="U244">
            <v>170811.36900000001</v>
          </cell>
          <cell r="V244">
            <v>175301.34400000001</v>
          </cell>
          <cell r="W244">
            <v>179812.872</v>
          </cell>
          <cell r="X244">
            <v>184345.04500000001</v>
          </cell>
          <cell r="Y244">
            <v>188901.329</v>
          </cell>
          <cell r="Z244">
            <v>193486.37</v>
          </cell>
          <cell r="AA244">
            <v>198095.42499999999</v>
          </cell>
          <cell r="AB244">
            <v>202731.31899999999</v>
          </cell>
          <cell r="AC244">
            <v>207416.361</v>
          </cell>
          <cell r="AD244">
            <v>212180.492</v>
          </cell>
          <cell r="AE244">
            <v>217045.50099999999</v>
          </cell>
          <cell r="AF244">
            <v>222014.43</v>
          </cell>
          <cell r="AG244">
            <v>227081.25899999999</v>
          </cell>
          <cell r="AH244">
            <v>232246.56200000001</v>
          </cell>
          <cell r="AI244">
            <v>237508.41200000001</v>
          </cell>
          <cell r="AJ244">
            <v>242861.53599999999</v>
          </cell>
          <cell r="AK244">
            <v>248305.77600000001</v>
          </cell>
          <cell r="AL244">
            <v>253830.511</v>
          </cell>
          <cell r="AM244">
            <v>259406.13500000001</v>
          </cell>
          <cell r="AN244">
            <v>264994.27399999998</v>
          </cell>
          <cell r="AO244">
            <v>270564.54700000002</v>
          </cell>
          <cell r="AP244">
            <v>276106.61800000002</v>
          </cell>
          <cell r="AQ244">
            <v>281618.40000000002</v>
          </cell>
          <cell r="AR244">
            <v>287088.59499999997</v>
          </cell>
          <cell r="AS244">
            <v>292507.31900000002</v>
          </cell>
          <cell r="AT244">
            <v>297868.65600000002</v>
          </cell>
          <cell r="AU244">
            <v>303162.24900000001</v>
          </cell>
          <cell r="AV244">
            <v>308389.69</v>
          </cell>
          <cell r="AW244">
            <v>313572.48200000002</v>
          </cell>
          <cell r="AX244">
            <v>318741.527</v>
          </cell>
          <cell r="AY244">
            <v>323918.58600000001</v>
          </cell>
          <cell r="AZ244">
            <v>329106.00799999997</v>
          </cell>
          <cell r="BA244">
            <v>334294.26500000001</v>
          </cell>
          <cell r="BB244">
            <v>339478.15100000001</v>
          </cell>
          <cell r="BC244">
            <v>344648.59700000001</v>
          </cell>
          <cell r="BD244">
            <v>349795.65700000001</v>
          </cell>
          <cell r="BE244">
            <v>354923.54800000001</v>
          </cell>
          <cell r="BF244">
            <v>360025.58199999999</v>
          </cell>
          <cell r="BG244">
            <v>365067.67499999999</v>
          </cell>
          <cell r="BH244">
            <v>370005.54399999999</v>
          </cell>
          <cell r="BI244">
            <v>374809.12800000003</v>
          </cell>
          <cell r="BJ244">
            <v>379461.20799999998</v>
          </cell>
          <cell r="BK244">
            <v>383973.95</v>
          </cell>
          <cell r="BL244">
            <v>388383.07500000001</v>
          </cell>
          <cell r="BM244">
            <v>392740.92800000001</v>
          </cell>
          <cell r="BN244">
            <v>397085.00300000003</v>
          </cell>
          <cell r="BO244">
            <v>401425.85499999998</v>
          </cell>
          <cell r="BP244">
            <v>405750.42300000001</v>
          </cell>
          <cell r="BQ244">
            <v>410043.90700000001</v>
          </cell>
          <cell r="BR244">
            <v>414282.27399999998</v>
          </cell>
          <cell r="BS244">
            <v>418447.196</v>
          </cell>
        </row>
        <row r="245">
          <cell r="E245">
            <v>32</v>
          </cell>
          <cell r="F245">
            <v>17150.334999999999</v>
          </cell>
          <cell r="G245">
            <v>17507.132000000001</v>
          </cell>
          <cell r="H245">
            <v>17866.097000000002</v>
          </cell>
          <cell r="I245">
            <v>18224.150000000001</v>
          </cell>
          <cell r="J245">
            <v>18579.041000000001</v>
          </cell>
          <cell r="K245">
            <v>18929.349999999999</v>
          </cell>
          <cell r="L245">
            <v>19274.526000000002</v>
          </cell>
          <cell r="M245">
            <v>19614.848000000002</v>
          </cell>
          <cell r="N245">
            <v>19951.326000000001</v>
          </cell>
          <cell r="O245">
            <v>20285.53</v>
          </cell>
          <cell r="P245">
            <v>20619.075000000001</v>
          </cell>
          <cell r="Q245">
            <v>20953.079000000002</v>
          </cell>
          <cell r="R245">
            <v>21287.682000000001</v>
          </cell>
          <cell r="S245">
            <v>21621.845000000001</v>
          </cell>
          <cell r="T245">
            <v>21953.925999999999</v>
          </cell>
          <cell r="U245">
            <v>22283.388999999999</v>
          </cell>
          <cell r="V245">
            <v>22608.746999999999</v>
          </cell>
          <cell r="W245">
            <v>22932.201000000001</v>
          </cell>
          <cell r="X245">
            <v>23261.273000000001</v>
          </cell>
          <cell r="Y245">
            <v>23605.991999999998</v>
          </cell>
          <cell r="Z245">
            <v>23973.062000000002</v>
          </cell>
          <cell r="AA245">
            <v>24366.441999999999</v>
          </cell>
          <cell r="AB245">
            <v>24782.95</v>
          </cell>
          <cell r="AC245">
            <v>25213.387999999999</v>
          </cell>
          <cell r="AD245">
            <v>25644.505000000001</v>
          </cell>
          <cell r="AE245">
            <v>26066.974999999999</v>
          </cell>
          <cell r="AF245">
            <v>26477.152999999998</v>
          </cell>
          <cell r="AG245">
            <v>26878.566999999999</v>
          </cell>
          <cell r="AH245">
            <v>27277.741999999998</v>
          </cell>
          <cell r="AI245">
            <v>27684.53</v>
          </cell>
          <cell r="AJ245">
            <v>28105.888999999999</v>
          </cell>
          <cell r="AK245">
            <v>28543.366000000002</v>
          </cell>
          <cell r="AL245">
            <v>28993.989000000001</v>
          </cell>
          <cell r="AM245">
            <v>29454.739000000001</v>
          </cell>
          <cell r="AN245">
            <v>29920.906999999999</v>
          </cell>
          <cell r="AO245">
            <v>30388.780999999999</v>
          </cell>
          <cell r="AP245">
            <v>30857.241999999998</v>
          </cell>
          <cell r="AQ245">
            <v>31326.473000000002</v>
          </cell>
          <cell r="AR245">
            <v>31795.514999999999</v>
          </cell>
          <cell r="AS245">
            <v>32263.559000000001</v>
          </cell>
          <cell r="AT245">
            <v>32729.74</v>
          </cell>
          <cell r="AU245">
            <v>33193.919999999998</v>
          </cell>
          <cell r="AV245">
            <v>33655.148999999998</v>
          </cell>
          <cell r="AW245">
            <v>34110.911999999997</v>
          </cell>
          <cell r="AX245">
            <v>34558.114000000001</v>
          </cell>
          <cell r="AY245">
            <v>34994.817999999999</v>
          </cell>
          <cell r="AZ245">
            <v>35419.682999999997</v>
          </cell>
          <cell r="BA245">
            <v>35833.964999999997</v>
          </cell>
          <cell r="BB245">
            <v>36241.578000000001</v>
          </cell>
          <cell r="BC245">
            <v>36648.053999999996</v>
          </cell>
          <cell r="BD245">
            <v>37057.453000000001</v>
          </cell>
          <cell r="BE245">
            <v>37471.535000000003</v>
          </cell>
          <cell r="BF245">
            <v>37889.442999999999</v>
          </cell>
          <cell r="BG245">
            <v>38309.474999999999</v>
          </cell>
          <cell r="BH245">
            <v>38728.777999999998</v>
          </cell>
          <cell r="BI245">
            <v>39145.491000000002</v>
          </cell>
          <cell r="BJ245">
            <v>39558.75</v>
          </cell>
          <cell r="BK245">
            <v>39969.902999999998</v>
          </cell>
          <cell r="BL245">
            <v>40381.86</v>
          </cell>
          <cell r="BM245">
            <v>40798.641000000003</v>
          </cell>
          <cell r="BN245">
            <v>41222.875</v>
          </cell>
          <cell r="BO245">
            <v>41655.616000000002</v>
          </cell>
          <cell r="BP245">
            <v>42095.224000000002</v>
          </cell>
          <cell r="BQ245">
            <v>42538.303999999996</v>
          </cell>
          <cell r="BR245">
            <v>42980.025999999998</v>
          </cell>
          <cell r="BS245">
            <v>43416.754999999997</v>
          </cell>
        </row>
        <row r="246">
          <cell r="E246">
            <v>68</v>
          </cell>
          <cell r="F246">
            <v>3089.6489999999999</v>
          </cell>
          <cell r="G246">
            <v>3140.3420000000001</v>
          </cell>
          <cell r="H246">
            <v>3193.2869999999998</v>
          </cell>
          <cell r="I246">
            <v>3248.462</v>
          </cell>
          <cell r="J246">
            <v>3305.835</v>
          </cell>
          <cell r="K246">
            <v>3365.3629999999998</v>
          </cell>
          <cell r="L246">
            <v>3426.9989999999998</v>
          </cell>
          <cell r="M246">
            <v>3490.6849999999999</v>
          </cell>
          <cell r="N246">
            <v>3556.3609999999999</v>
          </cell>
          <cell r="O246">
            <v>3623.9639999999999</v>
          </cell>
          <cell r="P246">
            <v>3693.451</v>
          </cell>
          <cell r="Q246">
            <v>3764.8150000000001</v>
          </cell>
          <cell r="R246">
            <v>3838.096</v>
          </cell>
          <cell r="S246">
            <v>3913.3969999999999</v>
          </cell>
          <cell r="T246">
            <v>3990.855</v>
          </cell>
          <cell r="U246">
            <v>4070.59</v>
          </cell>
          <cell r="V246">
            <v>4152.665</v>
          </cell>
          <cell r="W246">
            <v>4237.1260000000002</v>
          </cell>
          <cell r="X246">
            <v>4324.0659999999998</v>
          </cell>
          <cell r="Y246">
            <v>4413.5839999999998</v>
          </cell>
          <cell r="Z246">
            <v>4505.7740000000003</v>
          </cell>
          <cell r="AA246">
            <v>4600.5959999999995</v>
          </cell>
          <cell r="AB246">
            <v>4698.09</v>
          </cell>
          <cell r="AC246">
            <v>4798.51</v>
          </cell>
          <cell r="AD246">
            <v>4902.1729999999998</v>
          </cell>
          <cell r="AE246">
            <v>5009.259</v>
          </cell>
          <cell r="AF246">
            <v>5119.8329999999996</v>
          </cell>
          <cell r="AG246">
            <v>5233.6769999999997</v>
          </cell>
          <cell r="AH246">
            <v>5350.32</v>
          </cell>
          <cell r="AI246">
            <v>5469.1229999999996</v>
          </cell>
          <cell r="AJ246">
            <v>5589.5720000000001</v>
          </cell>
          <cell r="AK246">
            <v>5711.598</v>
          </cell>
          <cell r="AL246">
            <v>5835.1859999999997</v>
          </cell>
          <cell r="AM246">
            <v>5959.9620000000004</v>
          </cell>
          <cell r="AN246">
            <v>6085.4989999999998</v>
          </cell>
          <cell r="AO246">
            <v>6211.549</v>
          </cell>
          <cell r="AP246">
            <v>6337.893</v>
          </cell>
          <cell r="AQ246">
            <v>6464.7359999999999</v>
          </cell>
          <cell r="AR246">
            <v>6592.7870000000003</v>
          </cell>
          <cell r="AS246">
            <v>6723.0460000000003</v>
          </cell>
          <cell r="AT246">
            <v>6856.2460000000001</v>
          </cell>
          <cell r="AU246">
            <v>6992.5209999999997</v>
          </cell>
          <cell r="AV246">
            <v>7131.6989999999996</v>
          </cell>
          <cell r="AW246">
            <v>7273.8239999999996</v>
          </cell>
          <cell r="AX246">
            <v>7418.8639999999996</v>
          </cell>
          <cell r="AY246">
            <v>7566.7160000000003</v>
          </cell>
          <cell r="AZ246">
            <v>7717.4449999999997</v>
          </cell>
          <cell r="BA246">
            <v>7870.86</v>
          </cell>
          <cell r="BB246">
            <v>8026.2569999999996</v>
          </cell>
          <cell r="BC246">
            <v>8182.71</v>
          </cell>
          <cell r="BD246">
            <v>8339.5120000000006</v>
          </cell>
          <cell r="BE246">
            <v>8496.3780000000006</v>
          </cell>
          <cell r="BF246">
            <v>8653.3430000000008</v>
          </cell>
          <cell r="BG246">
            <v>8810.42</v>
          </cell>
          <cell r="BH246">
            <v>8967.74</v>
          </cell>
          <cell r="BI246">
            <v>9125.4050000000007</v>
          </cell>
          <cell r="BJ246">
            <v>9283.3449999999993</v>
          </cell>
          <cell r="BK246">
            <v>9441.482</v>
          </cell>
          <cell r="BL246">
            <v>9599.9159999999993</v>
          </cell>
          <cell r="BM246">
            <v>9758.7990000000009</v>
          </cell>
          <cell r="BN246">
            <v>9918.2450000000008</v>
          </cell>
          <cell r="BO246">
            <v>10078.237999999999</v>
          </cell>
          <cell r="BP246">
            <v>10238.762000000001</v>
          </cell>
          <cell r="BQ246">
            <v>10399.931</v>
          </cell>
          <cell r="BR246">
            <v>10561.887000000001</v>
          </cell>
          <cell r="BS246">
            <v>10724.705</v>
          </cell>
        </row>
        <row r="247">
          <cell r="E247">
            <v>76</v>
          </cell>
          <cell r="F247">
            <v>53974.726000000002</v>
          </cell>
          <cell r="G247">
            <v>55605.540999999997</v>
          </cell>
          <cell r="H247">
            <v>57304.771999999997</v>
          </cell>
          <cell r="I247">
            <v>59053.267</v>
          </cell>
          <cell r="J247">
            <v>60838.781999999999</v>
          </cell>
          <cell r="K247">
            <v>62655.983999999997</v>
          </cell>
          <cell r="L247">
            <v>64506.874000000003</v>
          </cell>
          <cell r="M247">
            <v>66400.361999999994</v>
          </cell>
          <cell r="N247">
            <v>68351.012000000002</v>
          </cell>
          <cell r="O247">
            <v>70376.952000000005</v>
          </cell>
          <cell r="P247">
            <v>72493.585000000006</v>
          </cell>
          <cell r="Q247">
            <v>74706.888000000006</v>
          </cell>
          <cell r="R247">
            <v>77007.548999999999</v>
          </cell>
          <cell r="S247">
            <v>79368.452999999994</v>
          </cell>
          <cell r="T247">
            <v>81751.801999999996</v>
          </cell>
          <cell r="U247">
            <v>84130.061000000002</v>
          </cell>
          <cell r="V247">
            <v>86494.986999999994</v>
          </cell>
          <cell r="W247">
            <v>88853.679000000004</v>
          </cell>
          <cell r="X247">
            <v>91213.009000000005</v>
          </cell>
          <cell r="Y247">
            <v>93585.745999999999</v>
          </cell>
          <cell r="Z247">
            <v>95982.452999999994</v>
          </cell>
          <cell r="AA247">
            <v>98402.2</v>
          </cell>
          <cell r="AB247">
            <v>100844.391</v>
          </cell>
          <cell r="AC247">
            <v>103320.787</v>
          </cell>
          <cell r="AD247">
            <v>105846.274</v>
          </cell>
          <cell r="AE247">
            <v>108431.284</v>
          </cell>
          <cell r="AF247">
            <v>111076.06299999999</v>
          </cell>
          <cell r="AG247">
            <v>113776.467</v>
          </cell>
          <cell r="AH247">
            <v>116532.15300000001</v>
          </cell>
          <cell r="AI247">
            <v>119341.444</v>
          </cell>
          <cell r="AJ247">
            <v>122199.72100000001</v>
          </cell>
          <cell r="AK247">
            <v>125107.382</v>
          </cell>
          <cell r="AL247">
            <v>128054.757</v>
          </cell>
          <cell r="AM247">
            <v>131014.337</v>
          </cell>
          <cell r="AN247">
            <v>133950.55100000001</v>
          </cell>
          <cell r="AO247">
            <v>136836.42800000001</v>
          </cell>
          <cell r="AP247">
            <v>139664.639</v>
          </cell>
          <cell r="AQ247">
            <v>142437.47899999999</v>
          </cell>
          <cell r="AR247">
            <v>145150.46799999999</v>
          </cell>
          <cell r="AS247">
            <v>147801.81599999999</v>
          </cell>
          <cell r="AT247">
            <v>150393.14300000001</v>
          </cell>
          <cell r="AU247">
            <v>152916.85200000001</v>
          </cell>
          <cell r="AV247">
            <v>155379.00899999999</v>
          </cell>
          <cell r="AW247">
            <v>157812.22</v>
          </cell>
          <cell r="AX247">
            <v>160260.508</v>
          </cell>
          <cell r="AY247">
            <v>162755.054</v>
          </cell>
          <cell r="AZ247">
            <v>165303.155</v>
          </cell>
          <cell r="BA247">
            <v>167893.83499999999</v>
          </cell>
          <cell r="BB247">
            <v>170516.48199999999</v>
          </cell>
          <cell r="BC247">
            <v>173153.06599999999</v>
          </cell>
          <cell r="BD247">
            <v>175786.44099999999</v>
          </cell>
          <cell r="BE247">
            <v>178419.39600000001</v>
          </cell>
          <cell r="BF247">
            <v>181045.592</v>
          </cell>
          <cell r="BG247">
            <v>183627.33900000001</v>
          </cell>
          <cell r="BH247">
            <v>186116.36300000001</v>
          </cell>
          <cell r="BI247">
            <v>188479.24</v>
          </cell>
          <cell r="BJ247">
            <v>190698.24100000001</v>
          </cell>
          <cell r="BK247">
            <v>192784.52100000001</v>
          </cell>
          <cell r="BL247">
            <v>194769.696</v>
          </cell>
          <cell r="BM247">
            <v>196701.29800000001</v>
          </cell>
          <cell r="BN247">
            <v>198614.20800000001</v>
          </cell>
          <cell r="BO247">
            <v>200517.584</v>
          </cell>
          <cell r="BP247">
            <v>202401.584</v>
          </cell>
          <cell r="BQ247">
            <v>204259.37700000001</v>
          </cell>
          <cell r="BR247">
            <v>206077.89799999999</v>
          </cell>
          <cell r="BS247">
            <v>207847.52799999999</v>
          </cell>
        </row>
        <row r="248">
          <cell r="E248">
            <v>152</v>
          </cell>
          <cell r="F248">
            <v>6142.8990000000003</v>
          </cell>
          <cell r="G248">
            <v>6278.3459999999995</v>
          </cell>
          <cell r="H248">
            <v>6417.5429999999997</v>
          </cell>
          <cell r="I248">
            <v>6561.0330000000004</v>
          </cell>
          <cell r="J248">
            <v>6709.1880000000001</v>
          </cell>
          <cell r="K248">
            <v>6862.2110000000002</v>
          </cell>
          <cell r="L248">
            <v>7020.125</v>
          </cell>
          <cell r="M248">
            <v>7182.7860000000001</v>
          </cell>
          <cell r="N248">
            <v>7349.8919999999998</v>
          </cell>
          <cell r="O248">
            <v>7521.0159999999996</v>
          </cell>
          <cell r="P248">
            <v>7695.692</v>
          </cell>
          <cell r="Q248">
            <v>7873.5039999999999</v>
          </cell>
          <cell r="R248">
            <v>8054.1660000000002</v>
          </cell>
          <cell r="S248">
            <v>8237.5550000000003</v>
          </cell>
          <cell r="T248">
            <v>8423.6139999999996</v>
          </cell>
          <cell r="U248">
            <v>8612.0740000000005</v>
          </cell>
          <cell r="V248">
            <v>8802.9259999999995</v>
          </cell>
          <cell r="W248">
            <v>8995.41</v>
          </cell>
          <cell r="X248">
            <v>9187.5920000000006</v>
          </cell>
          <cell r="Y248">
            <v>9377.0049999999992</v>
          </cell>
          <cell r="Z248">
            <v>9561.8680000000004</v>
          </cell>
          <cell r="AA248">
            <v>9741.5789999999997</v>
          </cell>
          <cell r="AB248">
            <v>9916.5580000000009</v>
          </cell>
          <cell r="AC248">
            <v>10087.377</v>
          </cell>
          <cell r="AD248">
            <v>10255.074000000001</v>
          </cell>
          <cell r="AE248">
            <v>10420.59</v>
          </cell>
          <cell r="AF248">
            <v>10584.236999999999</v>
          </cell>
          <cell r="AG248">
            <v>10746.328</v>
          </cell>
          <cell r="AH248">
            <v>10907.901</v>
          </cell>
          <cell r="AI248">
            <v>11070.198</v>
          </cell>
          <cell r="AJ248">
            <v>11234.34</v>
          </cell>
          <cell r="AK248">
            <v>11400.489</v>
          </cell>
          <cell r="AL248">
            <v>11569.135</v>
          </cell>
          <cell r="AM248">
            <v>11742.057000000001</v>
          </cell>
          <cell r="AN248">
            <v>11921.406999999999</v>
          </cell>
          <cell r="AO248">
            <v>12108.575999999999</v>
          </cell>
          <cell r="AP248">
            <v>12304.203</v>
          </cell>
          <cell r="AQ248">
            <v>12507.487999999999</v>
          </cell>
          <cell r="AR248">
            <v>12716.508</v>
          </cell>
          <cell r="AS248">
            <v>12928.491</v>
          </cell>
          <cell r="AT248">
            <v>13141.201999999999</v>
          </cell>
          <cell r="AU248">
            <v>13354.054</v>
          </cell>
          <cell r="AV248">
            <v>13566.941999999999</v>
          </cell>
          <cell r="AW248">
            <v>13778.675999999999</v>
          </cell>
          <cell r="AX248">
            <v>13987.999</v>
          </cell>
          <cell r="AY248">
            <v>14193.986000000001</v>
          </cell>
          <cell r="AZ248">
            <v>14396.02</v>
          </cell>
          <cell r="BA248">
            <v>14594.07</v>
          </cell>
          <cell r="BB248">
            <v>14788.609</v>
          </cell>
          <cell r="BC248">
            <v>14980.484</v>
          </cell>
          <cell r="BD248">
            <v>15170.387000000001</v>
          </cell>
          <cell r="BE248">
            <v>15358.418</v>
          </cell>
          <cell r="BF248">
            <v>15544.554</v>
          </cell>
          <cell r="BG248">
            <v>15729.268</v>
          </cell>
          <cell r="BH248">
            <v>15913.119000000001</v>
          </cell>
          <cell r="BI248">
            <v>16096.571</v>
          </cell>
          <cell r="BJ248">
            <v>16279.727999999999</v>
          </cell>
          <cell r="BK248">
            <v>16462.701000000001</v>
          </cell>
          <cell r="BL248">
            <v>16645.939999999999</v>
          </cell>
          <cell r="BM248">
            <v>16829.956999999999</v>
          </cell>
          <cell r="BN248">
            <v>17015.047999999999</v>
          </cell>
          <cell r="BO248">
            <v>17201.305</v>
          </cell>
          <cell r="BP248">
            <v>17388.437000000002</v>
          </cell>
          <cell r="BQ248">
            <v>17575.832999999999</v>
          </cell>
          <cell r="BR248">
            <v>17762.647000000001</v>
          </cell>
          <cell r="BS248">
            <v>17948.141</v>
          </cell>
        </row>
        <row r="249">
          <cell r="E249">
            <v>170</v>
          </cell>
          <cell r="F249">
            <v>12340.898999999999</v>
          </cell>
          <cell r="G249">
            <v>12699.949000000001</v>
          </cell>
          <cell r="H249">
            <v>13064.689</v>
          </cell>
          <cell r="I249">
            <v>13438.645</v>
          </cell>
          <cell r="J249">
            <v>13824.721</v>
          </cell>
          <cell r="K249">
            <v>14225.197</v>
          </cell>
          <cell r="L249">
            <v>14641.718000000001</v>
          </cell>
          <cell r="M249">
            <v>15075.304</v>
          </cell>
          <cell r="N249">
            <v>15526.391</v>
          </cell>
          <cell r="O249">
            <v>15994.891</v>
          </cell>
          <cell r="P249">
            <v>16480.383999999998</v>
          </cell>
          <cell r="Q249">
            <v>16982.312999999998</v>
          </cell>
          <cell r="R249">
            <v>17500.166000000001</v>
          </cell>
          <cell r="S249">
            <v>18033.547999999999</v>
          </cell>
          <cell r="T249">
            <v>18581.972000000002</v>
          </cell>
          <cell r="U249">
            <v>19144.22</v>
          </cell>
          <cell r="V249">
            <v>19721.464</v>
          </cell>
          <cell r="W249">
            <v>20311.368999999999</v>
          </cell>
          <cell r="X249">
            <v>20905.061000000002</v>
          </cell>
          <cell r="Y249">
            <v>21490.948</v>
          </cell>
          <cell r="Z249">
            <v>22061.214</v>
          </cell>
          <cell r="AA249">
            <v>22611.988000000001</v>
          </cell>
          <cell r="AB249">
            <v>23146.803</v>
          </cell>
          <cell r="AC249">
            <v>23674.505000000001</v>
          </cell>
          <cell r="AD249">
            <v>24208.022000000001</v>
          </cell>
          <cell r="AE249">
            <v>24756.969000000001</v>
          </cell>
          <cell r="AF249">
            <v>25323.412</v>
          </cell>
          <cell r="AG249">
            <v>25905.124</v>
          </cell>
          <cell r="AH249">
            <v>26502.171999999999</v>
          </cell>
          <cell r="AI249">
            <v>27113.51</v>
          </cell>
          <cell r="AJ249">
            <v>27737.904999999999</v>
          </cell>
          <cell r="AK249">
            <v>28375.994999999999</v>
          </cell>
          <cell r="AL249">
            <v>29027.157999999999</v>
          </cell>
          <cell r="AM249">
            <v>29687.096000000001</v>
          </cell>
          <cell r="AN249">
            <v>30350.081999999999</v>
          </cell>
          <cell r="AO249">
            <v>31011.686000000002</v>
          </cell>
          <cell r="AP249">
            <v>31669.78</v>
          </cell>
          <cell r="AQ249">
            <v>32324.326000000001</v>
          </cell>
          <cell r="AR249">
            <v>32975.533000000003</v>
          </cell>
          <cell r="AS249">
            <v>33624.442000000003</v>
          </cell>
          <cell r="AT249">
            <v>34271.563000000002</v>
          </cell>
          <cell r="AU249">
            <v>34916.769999999997</v>
          </cell>
          <cell r="AV249">
            <v>35558.682999999997</v>
          </cell>
          <cell r="AW249">
            <v>36195.17</v>
          </cell>
          <cell r="AX249">
            <v>36823.538999999997</v>
          </cell>
          <cell r="AY249">
            <v>37441.980000000003</v>
          </cell>
          <cell r="AZ249">
            <v>38049.040000000001</v>
          </cell>
          <cell r="BA249">
            <v>38645.409</v>
          </cell>
          <cell r="BB249">
            <v>39234.059000000001</v>
          </cell>
          <cell r="BC249">
            <v>39819.279000000002</v>
          </cell>
          <cell r="BD249">
            <v>40403.959000000003</v>
          </cell>
          <cell r="BE249">
            <v>40988.909</v>
          </cell>
          <cell r="BF249">
            <v>41572.493000000002</v>
          </cell>
          <cell r="BG249">
            <v>42152.146999999997</v>
          </cell>
          <cell r="BH249">
            <v>42724.156999999999</v>
          </cell>
          <cell r="BI249">
            <v>43285.635999999999</v>
          </cell>
          <cell r="BJ249">
            <v>43835.743999999999</v>
          </cell>
          <cell r="BK249">
            <v>44374.646999999997</v>
          </cell>
          <cell r="BL249">
            <v>44901.66</v>
          </cell>
          <cell r="BM249">
            <v>45416.275999999998</v>
          </cell>
          <cell r="BN249">
            <v>45918.101000000002</v>
          </cell>
          <cell r="BO249">
            <v>46406.446000000004</v>
          </cell>
          <cell r="BP249">
            <v>46881.017999999996</v>
          </cell>
          <cell r="BQ249">
            <v>47342.362999999998</v>
          </cell>
          <cell r="BR249">
            <v>47791.392999999996</v>
          </cell>
          <cell r="BS249">
            <v>48228.703999999998</v>
          </cell>
        </row>
        <row r="250">
          <cell r="E250">
            <v>218</v>
          </cell>
          <cell r="F250">
            <v>3470.1619999999998</v>
          </cell>
          <cell r="G250">
            <v>3561.154</v>
          </cell>
          <cell r="H250">
            <v>3655.0120000000002</v>
          </cell>
          <cell r="I250">
            <v>3752.1309999999999</v>
          </cell>
          <cell r="J250">
            <v>3852.857</v>
          </cell>
          <cell r="K250">
            <v>3957.482</v>
          </cell>
          <cell r="L250">
            <v>4066.24</v>
          </cell>
          <cell r="M250">
            <v>4179.3140000000003</v>
          </cell>
          <cell r="N250">
            <v>4296.835</v>
          </cell>
          <cell r="O250">
            <v>4418.8919999999998</v>
          </cell>
          <cell r="P250">
            <v>4545.5479999999998</v>
          </cell>
          <cell r="Q250">
            <v>4676.8580000000002</v>
          </cell>
          <cell r="R250">
            <v>4812.8919999999998</v>
          </cell>
          <cell r="S250">
            <v>4953.7349999999997</v>
          </cell>
          <cell r="T250">
            <v>5099.47</v>
          </cell>
          <cell r="U250">
            <v>5250.12</v>
          </cell>
          <cell r="V250">
            <v>5405.692</v>
          </cell>
          <cell r="W250">
            <v>5566.0569999999998</v>
          </cell>
          <cell r="X250">
            <v>5730.9080000000004</v>
          </cell>
          <cell r="Y250">
            <v>5899.8419999999996</v>
          </cell>
          <cell r="Z250">
            <v>6072.52</v>
          </cell>
          <cell r="AA250">
            <v>6248.8310000000001</v>
          </cell>
          <cell r="AB250">
            <v>6428.7070000000003</v>
          </cell>
          <cell r="AC250">
            <v>6611.9160000000002</v>
          </cell>
          <cell r="AD250">
            <v>6798.2049999999999</v>
          </cell>
          <cell r="AE250">
            <v>6987.393</v>
          </cell>
          <cell r="AF250">
            <v>7179.3990000000003</v>
          </cell>
          <cell r="AG250">
            <v>7374.2349999999997</v>
          </cell>
          <cell r="AH250">
            <v>7571.9530000000004</v>
          </cell>
          <cell r="AI250">
            <v>7772.652</v>
          </cell>
          <cell r="AJ250">
            <v>7976.4489999999996</v>
          </cell>
          <cell r="AK250">
            <v>8183.1940000000004</v>
          </cell>
          <cell r="AL250">
            <v>8392.9349999999995</v>
          </cell>
          <cell r="AM250">
            <v>8606.2139999999999</v>
          </cell>
          <cell r="AN250">
            <v>8823.7459999999992</v>
          </cell>
          <cell r="AO250">
            <v>9045.9770000000008</v>
          </cell>
          <cell r="AP250">
            <v>9272.9050000000007</v>
          </cell>
          <cell r="AQ250">
            <v>9504.1319999999996</v>
          </cell>
          <cell r="AR250">
            <v>9739.1790000000001</v>
          </cell>
          <cell r="AS250">
            <v>9977.3799999999992</v>
          </cell>
          <cell r="AT250">
            <v>10218.084999999999</v>
          </cell>
          <cell r="AU250">
            <v>10460.987999999999</v>
          </cell>
          <cell r="AV250">
            <v>10705.67</v>
          </cell>
          <cell r="AW250">
            <v>10951.2</v>
          </cell>
          <cell r="AX250">
            <v>11196.476000000001</v>
          </cell>
          <cell r="AY250">
            <v>11440.575999999999</v>
          </cell>
          <cell r="AZ250">
            <v>11683.48</v>
          </cell>
          <cell r="BA250">
            <v>11924.991</v>
          </cell>
          <cell r="BB250">
            <v>12163.887000000001</v>
          </cell>
          <cell r="BC250">
            <v>12398.691000000001</v>
          </cell>
          <cell r="BD250">
            <v>12628.596</v>
          </cell>
          <cell r="BE250">
            <v>12852.753000000001</v>
          </cell>
          <cell r="BF250">
            <v>13072.056</v>
          </cell>
          <cell r="BG250">
            <v>13289.6</v>
          </cell>
          <cell r="BH250">
            <v>13509.645</v>
          </cell>
          <cell r="BI250">
            <v>13735.232</v>
          </cell>
          <cell r="BJ250">
            <v>13967.49</v>
          </cell>
          <cell r="BK250">
            <v>14205.478999999999</v>
          </cell>
          <cell r="BL250">
            <v>14447.6</v>
          </cell>
          <cell r="BM250">
            <v>14691.31</v>
          </cell>
          <cell r="BN250">
            <v>14934.691999999999</v>
          </cell>
          <cell r="BO250">
            <v>15177.28</v>
          </cell>
          <cell r="BP250">
            <v>15419.493</v>
          </cell>
          <cell r="BQ250">
            <v>15661.312</v>
          </cell>
          <cell r="BR250">
            <v>15902.915999999999</v>
          </cell>
          <cell r="BS250">
            <v>16144.362999999999</v>
          </cell>
        </row>
        <row r="251">
          <cell r="E251">
            <v>238</v>
          </cell>
          <cell r="F251">
            <v>2.2610000000000001</v>
          </cell>
          <cell r="G251">
            <v>2.2469999999999999</v>
          </cell>
          <cell r="H251">
            <v>2.2349999999999999</v>
          </cell>
          <cell r="I251">
            <v>2.2240000000000002</v>
          </cell>
          <cell r="J251">
            <v>2.2130000000000001</v>
          </cell>
          <cell r="K251">
            <v>2.202</v>
          </cell>
          <cell r="L251">
            <v>2.1909999999999998</v>
          </cell>
          <cell r="M251">
            <v>2.1800000000000002</v>
          </cell>
          <cell r="N251">
            <v>2.1680000000000001</v>
          </cell>
          <cell r="O251">
            <v>2.1560000000000001</v>
          </cell>
          <cell r="P251">
            <v>2.1440000000000001</v>
          </cell>
          <cell r="Q251">
            <v>2.1309999999999998</v>
          </cell>
          <cell r="R251">
            <v>2.117</v>
          </cell>
          <cell r="S251">
            <v>2.1040000000000001</v>
          </cell>
          <cell r="T251">
            <v>2.089</v>
          </cell>
          <cell r="U251">
            <v>2.0739999999999998</v>
          </cell>
          <cell r="V251">
            <v>2.0579999999999998</v>
          </cell>
          <cell r="W251">
            <v>2.0409999999999999</v>
          </cell>
          <cell r="X251">
            <v>2.024</v>
          </cell>
          <cell r="Y251">
            <v>2.008</v>
          </cell>
          <cell r="Z251">
            <v>1.9910000000000001</v>
          </cell>
          <cell r="AA251">
            <v>1.9750000000000001</v>
          </cell>
          <cell r="AB251">
            <v>1.96</v>
          </cell>
          <cell r="AC251">
            <v>1.946</v>
          </cell>
          <cell r="AD251">
            <v>1.9319999999999999</v>
          </cell>
          <cell r="AE251">
            <v>1.917</v>
          </cell>
          <cell r="AF251">
            <v>1.903</v>
          </cell>
          <cell r="AG251">
            <v>1.889</v>
          </cell>
          <cell r="AH251">
            <v>1.877</v>
          </cell>
          <cell r="AI251">
            <v>1.8660000000000001</v>
          </cell>
          <cell r="AJ251">
            <v>1.8560000000000001</v>
          </cell>
          <cell r="AK251">
            <v>1.85</v>
          </cell>
          <cell r="AL251">
            <v>1.8460000000000001</v>
          </cell>
          <cell r="AM251">
            <v>1.845</v>
          </cell>
          <cell r="AN251">
            <v>1.849</v>
          </cell>
          <cell r="AO251">
            <v>1.8560000000000001</v>
          </cell>
          <cell r="AP251">
            <v>1.867</v>
          </cell>
          <cell r="AQ251">
            <v>1.881</v>
          </cell>
          <cell r="AR251">
            <v>1.905</v>
          </cell>
          <cell r="AS251">
            <v>1.9410000000000001</v>
          </cell>
          <cell r="AT251">
            <v>1.9930000000000001</v>
          </cell>
          <cell r="AU251">
            <v>2.0619999999999998</v>
          </cell>
          <cell r="AV251">
            <v>2.1440000000000001</v>
          </cell>
          <cell r="AW251">
            <v>2.2389999999999999</v>
          </cell>
          <cell r="AX251">
            <v>2.3380000000000001</v>
          </cell>
          <cell r="AY251">
            <v>2.4390000000000001</v>
          </cell>
          <cell r="AZ251">
            <v>2.5409999999999999</v>
          </cell>
          <cell r="BA251">
            <v>2.641</v>
          </cell>
          <cell r="BB251">
            <v>2.7370000000000001</v>
          </cell>
          <cell r="BC251">
            <v>2.8180000000000001</v>
          </cell>
          <cell r="BD251">
            <v>2.8809999999999998</v>
          </cell>
          <cell r="BE251">
            <v>2.9239999999999999</v>
          </cell>
          <cell r="BF251">
            <v>2.9470000000000001</v>
          </cell>
          <cell r="BG251">
            <v>2.9540000000000002</v>
          </cell>
          <cell r="BH251">
            <v>2.9510000000000001</v>
          </cell>
          <cell r="BI251">
            <v>2.9420000000000002</v>
          </cell>
          <cell r="BJ251">
            <v>2.927</v>
          </cell>
          <cell r="BK251">
            <v>2.907</v>
          </cell>
          <cell r="BL251">
            <v>2.8849999999999998</v>
          </cell>
          <cell r="BM251">
            <v>2.867</v>
          </cell>
          <cell r="BN251">
            <v>2.8559999999999999</v>
          </cell>
          <cell r="BO251">
            <v>2.855</v>
          </cell>
          <cell r="BP251">
            <v>2.863</v>
          </cell>
          <cell r="BQ251">
            <v>2.8769999999999998</v>
          </cell>
          <cell r="BR251">
            <v>2.891</v>
          </cell>
          <cell r="BS251">
            <v>2.903</v>
          </cell>
        </row>
        <row r="252">
          <cell r="E252">
            <v>254</v>
          </cell>
          <cell r="F252">
            <v>25.478999999999999</v>
          </cell>
          <cell r="G252">
            <v>26.245999999999999</v>
          </cell>
          <cell r="H252">
            <v>26.895</v>
          </cell>
          <cell r="I252">
            <v>27.463000000000001</v>
          </cell>
          <cell r="J252">
            <v>27.984999999999999</v>
          </cell>
          <cell r="K252">
            <v>28.495999999999999</v>
          </cell>
          <cell r="L252">
            <v>29.03</v>
          </cell>
          <cell r="M252">
            <v>29.620999999999999</v>
          </cell>
          <cell r="N252">
            <v>30.3</v>
          </cell>
          <cell r="O252">
            <v>31.097000000000001</v>
          </cell>
          <cell r="P252">
            <v>32.033999999999999</v>
          </cell>
          <cell r="Q252">
            <v>33.125999999999998</v>
          </cell>
          <cell r="R252">
            <v>34.375999999999998</v>
          </cell>
          <cell r="S252">
            <v>35.768000000000001</v>
          </cell>
          <cell r="T252">
            <v>37.281999999999996</v>
          </cell>
          <cell r="U252">
            <v>38.896999999999998</v>
          </cell>
          <cell r="V252">
            <v>40.619</v>
          </cell>
          <cell r="W252">
            <v>42.441000000000003</v>
          </cell>
          <cell r="X252">
            <v>44.31</v>
          </cell>
          <cell r="Y252">
            <v>46.155999999999999</v>
          </cell>
          <cell r="Z252">
            <v>47.929000000000002</v>
          </cell>
          <cell r="AA252">
            <v>49.624000000000002</v>
          </cell>
          <cell r="AB252">
            <v>51.265999999999998</v>
          </cell>
          <cell r="AC252">
            <v>52.883000000000003</v>
          </cell>
          <cell r="AD252">
            <v>54.52</v>
          </cell>
          <cell r="AE252">
            <v>56.220999999999997</v>
          </cell>
          <cell r="AF252">
            <v>57.996000000000002</v>
          </cell>
          <cell r="AG252">
            <v>59.875</v>
          </cell>
          <cell r="AH252">
            <v>61.935000000000002</v>
          </cell>
          <cell r="AI252">
            <v>64.275999999999996</v>
          </cell>
          <cell r="AJ252">
            <v>66.974999999999994</v>
          </cell>
          <cell r="AK252">
            <v>70.024000000000001</v>
          </cell>
          <cell r="AL252">
            <v>73.417000000000002</v>
          </cell>
          <cell r="AM252">
            <v>77.233000000000004</v>
          </cell>
          <cell r="AN252">
            <v>81.561000000000007</v>
          </cell>
          <cell r="AO252">
            <v>86.44</v>
          </cell>
          <cell r="AP252">
            <v>91.941999999999993</v>
          </cell>
          <cell r="AQ252">
            <v>97.975999999999999</v>
          </cell>
          <cell r="AR252">
            <v>104.227</v>
          </cell>
          <cell r="AS252">
            <v>110.262</v>
          </cell>
          <cell r="AT252">
            <v>115.782</v>
          </cell>
          <cell r="AU252">
            <v>120.685</v>
          </cell>
          <cell r="AV252">
            <v>125.083</v>
          </cell>
          <cell r="AW252">
            <v>129.15600000000001</v>
          </cell>
          <cell r="AX252">
            <v>133.18700000000001</v>
          </cell>
          <cell r="AY252">
            <v>137.4</v>
          </cell>
          <cell r="AZ252">
            <v>141.77600000000001</v>
          </cell>
          <cell r="BA252">
            <v>146.29900000000001</v>
          </cell>
          <cell r="BB252">
            <v>151.19999999999999</v>
          </cell>
          <cell r="BC252">
            <v>156.76400000000001</v>
          </cell>
          <cell r="BD252">
            <v>163.16200000000001</v>
          </cell>
          <cell r="BE252">
            <v>170.54599999999999</v>
          </cell>
          <cell r="BF252">
            <v>178.785</v>
          </cell>
          <cell r="BG252">
            <v>187.41900000000001</v>
          </cell>
          <cell r="BH252">
            <v>195.80799999999999</v>
          </cell>
          <cell r="BI252">
            <v>203.495</v>
          </cell>
          <cell r="BJ252">
            <v>210.30099999999999</v>
          </cell>
          <cell r="BK252">
            <v>216.38200000000001</v>
          </cell>
          <cell r="BL252">
            <v>222.03800000000001</v>
          </cell>
          <cell r="BM252">
            <v>227.73099999999999</v>
          </cell>
          <cell r="BN252">
            <v>233.79499999999999</v>
          </cell>
          <cell r="BO252">
            <v>240.31399999999999</v>
          </cell>
          <cell r="BP252">
            <v>247.17599999999999</v>
          </cell>
          <cell r="BQ252">
            <v>254.28299999999999</v>
          </cell>
          <cell r="BR252">
            <v>261.46600000000001</v>
          </cell>
          <cell r="BS252">
            <v>268.60599999999999</v>
          </cell>
        </row>
        <row r="253">
          <cell r="E253">
            <v>328</v>
          </cell>
          <cell r="F253">
            <v>406.56200000000001</v>
          </cell>
          <cell r="G253">
            <v>420.29</v>
          </cell>
          <cell r="H253">
            <v>435.85</v>
          </cell>
          <cell r="I253">
            <v>452.26</v>
          </cell>
          <cell r="J253">
            <v>468.80500000000001</v>
          </cell>
          <cell r="K253">
            <v>485.041</v>
          </cell>
          <cell r="L253">
            <v>500.80900000000003</v>
          </cell>
          <cell r="M253">
            <v>516.21799999999996</v>
          </cell>
          <cell r="N253">
            <v>531.60500000000002</v>
          </cell>
          <cell r="O253">
            <v>547.46100000000001</v>
          </cell>
          <cell r="P253">
            <v>564.22199999999998</v>
          </cell>
          <cell r="Q253">
            <v>582.03399999999999</v>
          </cell>
          <cell r="R253">
            <v>600.55899999999997</v>
          </cell>
          <cell r="S253">
            <v>618.88699999999994</v>
          </cell>
          <cell r="T253">
            <v>635.77800000000002</v>
          </cell>
          <cell r="U253">
            <v>650.37900000000002</v>
          </cell>
          <cell r="V253">
            <v>662.33199999999999</v>
          </cell>
          <cell r="W253">
            <v>671.98599999999999</v>
          </cell>
          <cell r="X253">
            <v>680.06799999999998</v>
          </cell>
          <cell r="Y253">
            <v>687.65800000000002</v>
          </cell>
          <cell r="Z253">
            <v>695.56100000000004</v>
          </cell>
          <cell r="AA253">
            <v>703.81100000000004</v>
          </cell>
          <cell r="AB253">
            <v>712.18799999999999</v>
          </cell>
          <cell r="AC253">
            <v>720.91899999999998</v>
          </cell>
          <cell r="AD253">
            <v>730.22699999999998</v>
          </cell>
          <cell r="AE253">
            <v>740.16700000000003</v>
          </cell>
          <cell r="AF253">
            <v>751.00800000000004</v>
          </cell>
          <cell r="AG253">
            <v>762.44500000000005</v>
          </cell>
          <cell r="AH253">
            <v>773.22699999999998</v>
          </cell>
          <cell r="AI253">
            <v>781.67700000000002</v>
          </cell>
          <cell r="AJ253">
            <v>786.61400000000003</v>
          </cell>
          <cell r="AK253">
            <v>787.72799999999995</v>
          </cell>
          <cell r="AL253">
            <v>785.46600000000001</v>
          </cell>
          <cell r="AM253">
            <v>780.36699999999996</v>
          </cell>
          <cell r="AN253">
            <v>773.30200000000002</v>
          </cell>
          <cell r="AO253">
            <v>765.04300000000001</v>
          </cell>
          <cell r="AP253">
            <v>755.59799999999996</v>
          </cell>
          <cell r="AQ253">
            <v>745.149</v>
          </cell>
          <cell r="AR253">
            <v>734.87199999999996</v>
          </cell>
          <cell r="AS253">
            <v>726.23699999999997</v>
          </cell>
          <cell r="AT253">
            <v>720.28200000000004</v>
          </cell>
          <cell r="AU253">
            <v>717.50199999999995</v>
          </cell>
          <cell r="AV253">
            <v>717.62099999999998</v>
          </cell>
          <cell r="AW253">
            <v>719.91</v>
          </cell>
          <cell r="AX253">
            <v>723.23</v>
          </cell>
          <cell r="AY253">
            <v>726.69500000000005</v>
          </cell>
          <cell r="AZ253">
            <v>730.19299999999998</v>
          </cell>
          <cell r="BA253">
            <v>733.85400000000004</v>
          </cell>
          <cell r="BB253">
            <v>737.31600000000003</v>
          </cell>
          <cell r="BC253">
            <v>740.18899999999996</v>
          </cell>
          <cell r="BD253">
            <v>742.21799999999996</v>
          </cell>
          <cell r="BE253">
            <v>743.16300000000001</v>
          </cell>
          <cell r="BF253">
            <v>743.10699999999997</v>
          </cell>
          <cell r="BG253">
            <v>742.53700000000003</v>
          </cell>
          <cell r="BH253">
            <v>742.16200000000003</v>
          </cell>
          <cell r="BI253">
            <v>742.495</v>
          </cell>
          <cell r="BJ253">
            <v>743.70500000000004</v>
          </cell>
          <cell r="BK253">
            <v>745.63800000000003</v>
          </cell>
          <cell r="BL253">
            <v>748.096</v>
          </cell>
          <cell r="BM253">
            <v>750.74900000000002</v>
          </cell>
          <cell r="BN253">
            <v>753.36199999999997</v>
          </cell>
          <cell r="BO253">
            <v>755.88300000000004</v>
          </cell>
          <cell r="BP253">
            <v>758.41</v>
          </cell>
          <cell r="BQ253">
            <v>761.03300000000002</v>
          </cell>
          <cell r="BR253">
            <v>763.89300000000003</v>
          </cell>
          <cell r="BS253">
            <v>767.08500000000004</v>
          </cell>
        </row>
        <row r="254">
          <cell r="E254">
            <v>600</v>
          </cell>
          <cell r="F254">
            <v>1473.2449999999999</v>
          </cell>
          <cell r="G254">
            <v>1511.7639999999999</v>
          </cell>
          <cell r="H254">
            <v>1550.7629999999999</v>
          </cell>
          <cell r="I254">
            <v>1590.4970000000001</v>
          </cell>
          <cell r="J254">
            <v>1631.1859999999999</v>
          </cell>
          <cell r="K254">
            <v>1673.0070000000001</v>
          </cell>
          <cell r="L254">
            <v>1716.105</v>
          </cell>
          <cell r="M254">
            <v>1760.5840000000001</v>
          </cell>
          <cell r="N254">
            <v>1806.5150000000001</v>
          </cell>
          <cell r="O254">
            <v>1853.9369999999999</v>
          </cell>
          <cell r="P254">
            <v>1902.8710000000001</v>
          </cell>
          <cell r="Q254">
            <v>1953.3309999999999</v>
          </cell>
          <cell r="R254">
            <v>2005.337</v>
          </cell>
          <cell r="S254">
            <v>2058.9160000000002</v>
          </cell>
          <cell r="T254">
            <v>2114.0949999999998</v>
          </cell>
          <cell r="U254">
            <v>2170.8530000000001</v>
          </cell>
          <cell r="V254">
            <v>2229.373</v>
          </cell>
          <cell r="W254">
            <v>2289.5790000000002</v>
          </cell>
          <cell r="X254">
            <v>2350.9</v>
          </cell>
          <cell r="Y254">
            <v>2412.5650000000001</v>
          </cell>
          <cell r="Z254">
            <v>2474.1019999999999</v>
          </cell>
          <cell r="AA254">
            <v>2535.355</v>
          </cell>
          <cell r="AB254">
            <v>2596.741</v>
          </cell>
          <cell r="AC254">
            <v>2659.0839999999998</v>
          </cell>
          <cell r="AD254">
            <v>2723.5230000000001</v>
          </cell>
          <cell r="AE254">
            <v>2790.9639999999999</v>
          </cell>
          <cell r="AF254">
            <v>2861.5819999999999</v>
          </cell>
          <cell r="AG254">
            <v>2935.375</v>
          </cell>
          <cell r="AH254">
            <v>3012.8330000000001</v>
          </cell>
          <cell r="AI254">
            <v>3094.4789999999998</v>
          </cell>
          <cell r="AJ254">
            <v>3180.6280000000002</v>
          </cell>
          <cell r="AK254">
            <v>3271.4540000000002</v>
          </cell>
          <cell r="AL254">
            <v>3366.7260000000001</v>
          </cell>
          <cell r="AM254">
            <v>3465.7959999999998</v>
          </cell>
          <cell r="AN254">
            <v>3567.75</v>
          </cell>
          <cell r="AO254">
            <v>3671.826</v>
          </cell>
          <cell r="AP254">
            <v>3777.7640000000001</v>
          </cell>
          <cell r="AQ254">
            <v>3885.433</v>
          </cell>
          <cell r="AR254">
            <v>3994.328</v>
          </cell>
          <cell r="AS254">
            <v>4103.9089999999997</v>
          </cell>
          <cell r="AT254">
            <v>4213.74</v>
          </cell>
          <cell r="AU254">
            <v>4323.402</v>
          </cell>
          <cell r="AV254">
            <v>4432.7380000000003</v>
          </cell>
          <cell r="AW254">
            <v>4541.902</v>
          </cell>
          <cell r="AX254">
            <v>4651.2219999999998</v>
          </cell>
          <cell r="AY254">
            <v>4760.8530000000001</v>
          </cell>
          <cell r="AZ254">
            <v>4870.6949999999997</v>
          </cell>
          <cell r="BA254">
            <v>4980.3459999999995</v>
          </cell>
          <cell r="BB254">
            <v>5089.3059999999996</v>
          </cell>
          <cell r="BC254">
            <v>5196.9350000000004</v>
          </cell>
          <cell r="BD254">
            <v>5302.7030000000004</v>
          </cell>
          <cell r="BE254">
            <v>5406.625</v>
          </cell>
          <cell r="BF254">
            <v>5508.6149999999998</v>
          </cell>
          <cell r="BG254">
            <v>5607.9480000000003</v>
          </cell>
          <cell r="BH254">
            <v>5703.7420000000002</v>
          </cell>
          <cell r="BI254">
            <v>5795.4930000000004</v>
          </cell>
          <cell r="BJ254">
            <v>5882.7969999999996</v>
          </cell>
          <cell r="BK254">
            <v>5966.16</v>
          </cell>
          <cell r="BL254">
            <v>6047.1310000000003</v>
          </cell>
          <cell r="BM254">
            <v>6127.8469999999998</v>
          </cell>
          <cell r="BN254">
            <v>6209.8770000000004</v>
          </cell>
          <cell r="BO254">
            <v>6293.7629999999999</v>
          </cell>
          <cell r="BP254">
            <v>6379.1620000000003</v>
          </cell>
          <cell r="BQ254">
            <v>6465.6689999999999</v>
          </cell>
          <cell r="BR254">
            <v>6552.518</v>
          </cell>
          <cell r="BS254">
            <v>6639.1229999999996</v>
          </cell>
        </row>
        <row r="255">
          <cell r="E255">
            <v>604</v>
          </cell>
          <cell r="F255">
            <v>7727.7349999999997</v>
          </cell>
          <cell r="G255">
            <v>7924.2060000000001</v>
          </cell>
          <cell r="H255">
            <v>8128.5249999999996</v>
          </cell>
          <cell r="I255">
            <v>8340.3790000000008</v>
          </cell>
          <cell r="J255">
            <v>8559.7209999999995</v>
          </cell>
          <cell r="K255">
            <v>8786.7530000000006</v>
          </cell>
          <cell r="L255">
            <v>9021.9599999999991</v>
          </cell>
          <cell r="M255">
            <v>9266.0779999999995</v>
          </cell>
          <cell r="N255">
            <v>9520.0480000000007</v>
          </cell>
          <cell r="O255">
            <v>9784.9089999999997</v>
          </cell>
          <cell r="P255">
            <v>10061.519</v>
          </cell>
          <cell r="Q255">
            <v>10350.239</v>
          </cell>
          <cell r="R255">
            <v>10650.672</v>
          </cell>
          <cell r="S255">
            <v>10961.539000000001</v>
          </cell>
          <cell r="T255">
            <v>11281.014999999999</v>
          </cell>
          <cell r="U255">
            <v>11607.683999999999</v>
          </cell>
          <cell r="V255">
            <v>11941.326999999999</v>
          </cell>
          <cell r="W255">
            <v>12282.081</v>
          </cell>
          <cell r="X255">
            <v>12629.333000000001</v>
          </cell>
          <cell r="Y255">
            <v>12982.444</v>
          </cell>
          <cell r="Z255">
            <v>13341.071</v>
          </cell>
          <cell r="AA255">
            <v>13704.333000000001</v>
          </cell>
          <cell r="AB255">
            <v>14072.476000000001</v>
          </cell>
          <cell r="AC255">
            <v>14447.648999999999</v>
          </cell>
          <cell r="AD255">
            <v>14832.839</v>
          </cell>
          <cell r="AE255">
            <v>15229.950999999999</v>
          </cell>
          <cell r="AF255">
            <v>15639.897999999999</v>
          </cell>
          <cell r="AG255">
            <v>16061.326999999999</v>
          </cell>
          <cell r="AH255">
            <v>16491.087</v>
          </cell>
          <cell r="AI255">
            <v>16924.758000000002</v>
          </cell>
          <cell r="AJ255">
            <v>17359.117999999999</v>
          </cell>
          <cell r="AK255">
            <v>17792.550999999999</v>
          </cell>
          <cell r="AL255">
            <v>18225.726999999999</v>
          </cell>
          <cell r="AM255">
            <v>18660.442999999999</v>
          </cell>
          <cell r="AN255">
            <v>19099.575000000001</v>
          </cell>
          <cell r="AO255">
            <v>19544.95</v>
          </cell>
          <cell r="AP255">
            <v>19996.25</v>
          </cell>
          <cell r="AQ255">
            <v>20451.712</v>
          </cell>
          <cell r="AR255">
            <v>20909.897000000001</v>
          </cell>
          <cell r="AS255">
            <v>21368.856</v>
          </cell>
          <cell r="AT255">
            <v>21826.657999999999</v>
          </cell>
          <cell r="AU255">
            <v>22283.13</v>
          </cell>
          <cell r="AV255">
            <v>22737.056</v>
          </cell>
          <cell r="AW255">
            <v>23184.222000000002</v>
          </cell>
          <cell r="AX255">
            <v>23619.358</v>
          </cell>
          <cell r="AY255">
            <v>24038.760999999999</v>
          </cell>
          <cell r="AZ255">
            <v>24441.076000000001</v>
          </cell>
          <cell r="BA255">
            <v>24827.409</v>
          </cell>
          <cell r="BB255">
            <v>25199.743999999999</v>
          </cell>
          <cell r="BC255">
            <v>25561.296999999999</v>
          </cell>
          <cell r="BD255">
            <v>25914.875</v>
          </cell>
          <cell r="BE255">
            <v>26261.363000000001</v>
          </cell>
          <cell r="BF255">
            <v>26601.463</v>
          </cell>
          <cell r="BG255">
            <v>26937.737000000001</v>
          </cell>
          <cell r="BH255">
            <v>27273.187999999998</v>
          </cell>
          <cell r="BI255">
            <v>27610.405999999999</v>
          </cell>
          <cell r="BJ255">
            <v>27949.957999999999</v>
          </cell>
          <cell r="BK255">
            <v>28292.768</v>
          </cell>
          <cell r="BL255">
            <v>28642.047999999999</v>
          </cell>
          <cell r="BM255">
            <v>29001.562999999998</v>
          </cell>
          <cell r="BN255">
            <v>29373.644</v>
          </cell>
          <cell r="BO255">
            <v>29759.891</v>
          </cell>
          <cell r="BP255">
            <v>30158.768</v>
          </cell>
          <cell r="BQ255">
            <v>30565.460999999999</v>
          </cell>
          <cell r="BR255">
            <v>30973.148000000001</v>
          </cell>
          <cell r="BS255">
            <v>31376.67</v>
          </cell>
        </row>
        <row r="256">
          <cell r="E256">
            <v>740</v>
          </cell>
          <cell r="F256">
            <v>214.999</v>
          </cell>
          <cell r="G256">
            <v>222.679</v>
          </cell>
          <cell r="H256">
            <v>229.65299999999999</v>
          </cell>
          <cell r="I256">
            <v>236.34800000000001</v>
          </cell>
          <cell r="J256">
            <v>243.08699999999999</v>
          </cell>
          <cell r="K256">
            <v>250.09399999999999</v>
          </cell>
          <cell r="L256">
            <v>257.48500000000001</v>
          </cell>
          <cell r="M256">
            <v>265.27300000000002</v>
          </cell>
          <cell r="N256">
            <v>273.38299999999998</v>
          </cell>
          <cell r="O256">
            <v>281.66899999999998</v>
          </cell>
          <cell r="P256">
            <v>289.97199999999998</v>
          </cell>
          <cell r="Q256">
            <v>298.19</v>
          </cell>
          <cell r="R256">
            <v>306.33</v>
          </cell>
          <cell r="S256">
            <v>314.52999999999997</v>
          </cell>
          <cell r="T256">
            <v>322.995</v>
          </cell>
          <cell r="U256">
            <v>331.79899999999998</v>
          </cell>
          <cell r="V256">
            <v>341.137</v>
          </cell>
          <cell r="W256">
            <v>350.755</v>
          </cell>
          <cell r="X256">
            <v>359.73500000000001</v>
          </cell>
          <cell r="Y256">
            <v>366.84500000000003</v>
          </cell>
          <cell r="Z256">
            <v>371.26799999999997</v>
          </cell>
          <cell r="AA256">
            <v>372.61900000000003</v>
          </cell>
          <cell r="AB256">
            <v>371.31799999999998</v>
          </cell>
          <cell r="AC256">
            <v>368.34199999999998</v>
          </cell>
          <cell r="AD256">
            <v>365.10399999999998</v>
          </cell>
          <cell r="AE256">
            <v>362.65100000000001</v>
          </cell>
          <cell r="AF256">
            <v>361.36799999999999</v>
          </cell>
          <cell r="AG256">
            <v>361.053</v>
          </cell>
          <cell r="AH256">
            <v>361.46300000000002</v>
          </cell>
          <cell r="AI256">
            <v>362.137</v>
          </cell>
          <cell r="AJ256">
            <v>362.77699999999999</v>
          </cell>
          <cell r="AK256">
            <v>363.30900000000003</v>
          </cell>
          <cell r="AL256">
            <v>363.99299999999999</v>
          </cell>
          <cell r="AM256">
            <v>365.24200000000002</v>
          </cell>
          <cell r="AN256">
            <v>367.61099999999999</v>
          </cell>
          <cell r="AO256">
            <v>371.46899999999999</v>
          </cell>
          <cell r="AP256">
            <v>376.97300000000001</v>
          </cell>
          <cell r="AQ256">
            <v>383.916</v>
          </cell>
          <cell r="AR256">
            <v>391.851</v>
          </cell>
          <cell r="AS256">
            <v>400.13299999999998</v>
          </cell>
          <cell r="AT256">
            <v>408.27600000000001</v>
          </cell>
          <cell r="AU256">
            <v>416.06799999999998</v>
          </cell>
          <cell r="AV256">
            <v>423.572</v>
          </cell>
          <cell r="AW256">
            <v>430.90100000000001</v>
          </cell>
          <cell r="AX256">
            <v>438.28</v>
          </cell>
          <cell r="AY256">
            <v>445.83</v>
          </cell>
          <cell r="AZ256">
            <v>453.65300000000002</v>
          </cell>
          <cell r="BA256">
            <v>461.56900000000002</v>
          </cell>
          <cell r="BB256">
            <v>469.108</v>
          </cell>
          <cell r="BC256">
            <v>475.637</v>
          </cell>
          <cell r="BD256">
            <v>480.75099999999998</v>
          </cell>
          <cell r="BE256">
            <v>484.21</v>
          </cell>
          <cell r="BF256">
            <v>486.27100000000002</v>
          </cell>
          <cell r="BG256">
            <v>487.64100000000002</v>
          </cell>
          <cell r="BH256">
            <v>489.31200000000001</v>
          </cell>
          <cell r="BI256">
            <v>491.99900000000002</v>
          </cell>
          <cell r="BJ256">
            <v>495.95299999999997</v>
          </cell>
          <cell r="BK256">
            <v>500.95299999999997</v>
          </cell>
          <cell r="BL256">
            <v>506.65699999999998</v>
          </cell>
          <cell r="BM256">
            <v>512.52200000000005</v>
          </cell>
          <cell r="BN256">
            <v>518.14099999999996</v>
          </cell>
          <cell r="BO256">
            <v>523.43899999999996</v>
          </cell>
          <cell r="BP256">
            <v>528.53499999999997</v>
          </cell>
          <cell r="BQ256">
            <v>533.45000000000005</v>
          </cell>
          <cell r="BR256">
            <v>538.24800000000005</v>
          </cell>
          <cell r="BS256">
            <v>542.97500000000002</v>
          </cell>
        </row>
        <row r="257">
          <cell r="E257">
            <v>858</v>
          </cell>
          <cell r="F257">
            <v>2238.5059999999999</v>
          </cell>
          <cell r="G257">
            <v>2261.3420000000001</v>
          </cell>
          <cell r="H257">
            <v>2286.2640000000001</v>
          </cell>
          <cell r="I257">
            <v>2313.2080000000001</v>
          </cell>
          <cell r="J257">
            <v>2342.0439999999999</v>
          </cell>
          <cell r="K257">
            <v>2372.567</v>
          </cell>
          <cell r="L257">
            <v>2404.5</v>
          </cell>
          <cell r="M257">
            <v>2437.498</v>
          </cell>
          <cell r="N257">
            <v>2471.152</v>
          </cell>
          <cell r="O257">
            <v>2505.0160000000001</v>
          </cell>
          <cell r="P257">
            <v>2538.6509999999998</v>
          </cell>
          <cell r="Q257">
            <v>2571.6909999999998</v>
          </cell>
          <cell r="R257">
            <v>2603.8870000000002</v>
          </cell>
          <cell r="S257">
            <v>2635.1280000000002</v>
          </cell>
          <cell r="T257">
            <v>2665.3870000000002</v>
          </cell>
          <cell r="U257">
            <v>2694.5349999999999</v>
          </cell>
          <cell r="V257">
            <v>2722.8739999999998</v>
          </cell>
          <cell r="W257">
            <v>2750.0929999999998</v>
          </cell>
          <cell r="X257">
            <v>2774.7710000000002</v>
          </cell>
          <cell r="Y257">
            <v>2795.0439999999999</v>
          </cell>
          <cell r="Z257">
            <v>2809.799</v>
          </cell>
          <cell r="AA257">
            <v>2818.2689999999998</v>
          </cell>
          <cell r="AB257">
            <v>2821.4369999999999</v>
          </cell>
          <cell r="AC257">
            <v>2822.0839999999998</v>
          </cell>
          <cell r="AD257">
            <v>2824.069</v>
          </cell>
          <cell r="AE257">
            <v>2830.172</v>
          </cell>
          <cell r="AF257">
            <v>2841.4360000000001</v>
          </cell>
          <cell r="AG257">
            <v>2857.107</v>
          </cell>
          <cell r="AH257">
            <v>2875.97</v>
          </cell>
          <cell r="AI257">
            <v>2896.0210000000002</v>
          </cell>
          <cell r="AJ257">
            <v>2915.7750000000001</v>
          </cell>
          <cell r="AK257">
            <v>2935.0360000000001</v>
          </cell>
          <cell r="AL257">
            <v>2954.2809999999999</v>
          </cell>
          <cell r="AM257">
            <v>2973.4609999999998</v>
          </cell>
          <cell r="AN257">
            <v>2992.6480000000001</v>
          </cell>
          <cell r="AO257">
            <v>3011.9070000000002</v>
          </cell>
          <cell r="AP257">
            <v>3031.0320000000002</v>
          </cell>
          <cell r="AQ257">
            <v>3049.962</v>
          </cell>
          <cell r="AR257">
            <v>3069.0940000000001</v>
          </cell>
          <cell r="AS257">
            <v>3088.9850000000001</v>
          </cell>
          <cell r="AT257">
            <v>3109.9870000000001</v>
          </cell>
          <cell r="AU257">
            <v>3132.0479999999998</v>
          </cell>
          <cell r="AV257">
            <v>3154.8530000000001</v>
          </cell>
          <cell r="AW257">
            <v>3178.1559999999999</v>
          </cell>
          <cell r="AX257">
            <v>3201.6039999999998</v>
          </cell>
          <cell r="AY257">
            <v>3224.8069999999998</v>
          </cell>
          <cell r="AZ257">
            <v>3248.0390000000002</v>
          </cell>
          <cell r="BA257">
            <v>3271.0140000000001</v>
          </cell>
          <cell r="BB257">
            <v>3292.134</v>
          </cell>
          <cell r="BC257">
            <v>3309.3180000000002</v>
          </cell>
          <cell r="BD257">
            <v>3321.2420000000002</v>
          </cell>
          <cell r="BE257">
            <v>3327.105</v>
          </cell>
          <cell r="BF257">
            <v>3327.77</v>
          </cell>
          <cell r="BG257">
            <v>3325.6370000000002</v>
          </cell>
          <cell r="BH257">
            <v>3324.096</v>
          </cell>
          <cell r="BI257">
            <v>3325.6080000000002</v>
          </cell>
          <cell r="BJ257">
            <v>3331.0410000000002</v>
          </cell>
          <cell r="BK257">
            <v>3339.75</v>
          </cell>
          <cell r="BL257">
            <v>3350.8319999999999</v>
          </cell>
          <cell r="BM257">
            <v>3362.761</v>
          </cell>
          <cell r="BN257">
            <v>3374.4140000000002</v>
          </cell>
          <cell r="BO257">
            <v>3385.61</v>
          </cell>
          <cell r="BP257">
            <v>3396.7530000000002</v>
          </cell>
          <cell r="BQ257">
            <v>3407.9690000000001</v>
          </cell>
          <cell r="BR257">
            <v>3419.5160000000001</v>
          </cell>
          <cell r="BS257">
            <v>3431.5549999999998</v>
          </cell>
        </row>
        <row r="258">
          <cell r="E258">
            <v>862</v>
          </cell>
          <cell r="F258">
            <v>5481.9769999999999</v>
          </cell>
          <cell r="G258">
            <v>5735.1679999999997</v>
          </cell>
          <cell r="H258">
            <v>5989.5550000000003</v>
          </cell>
          <cell r="I258">
            <v>6244.652</v>
          </cell>
          <cell r="J258">
            <v>6500.6419999999998</v>
          </cell>
          <cell r="K258">
            <v>6758.3720000000003</v>
          </cell>
          <cell r="L258">
            <v>7019.4059999999999</v>
          </cell>
          <cell r="M258">
            <v>7285.9740000000002</v>
          </cell>
          <cell r="N258">
            <v>7560.8209999999999</v>
          </cell>
          <cell r="O258">
            <v>7846.9470000000001</v>
          </cell>
          <cell r="P258">
            <v>8146.8450000000003</v>
          </cell>
          <cell r="Q258">
            <v>8461.6839999999993</v>
          </cell>
          <cell r="R258">
            <v>8790.59</v>
          </cell>
          <cell r="S258">
            <v>9130.3459999999995</v>
          </cell>
          <cell r="T258">
            <v>9476.2549999999992</v>
          </cell>
          <cell r="U258">
            <v>9824.6939999999995</v>
          </cell>
          <cell r="V258">
            <v>10175.143</v>
          </cell>
          <cell r="W258">
            <v>10528.054</v>
          </cell>
          <cell r="X258">
            <v>10881.995000000001</v>
          </cell>
          <cell r="Y258">
            <v>11235.492</v>
          </cell>
          <cell r="Z258">
            <v>11587.758</v>
          </cell>
          <cell r="AA258">
            <v>11937.803</v>
          </cell>
          <cell r="AB258">
            <v>12286.433999999999</v>
          </cell>
          <cell r="AC258">
            <v>12636.971</v>
          </cell>
          <cell r="AD258">
            <v>12994.025</v>
          </cell>
          <cell r="AE258">
            <v>13360.987999999999</v>
          </cell>
          <cell r="AF258">
            <v>13739.142</v>
          </cell>
          <cell r="AG258">
            <v>14127.79</v>
          </cell>
          <cell r="AH258">
            <v>14525.929</v>
          </cell>
          <cell r="AI258">
            <v>14931.741</v>
          </cell>
          <cell r="AJ258">
            <v>15343.916999999999</v>
          </cell>
          <cell r="AK258">
            <v>15761.8</v>
          </cell>
          <cell r="AL258">
            <v>16185.895</v>
          </cell>
          <cell r="AM258">
            <v>16617.343000000001</v>
          </cell>
          <cell r="AN258">
            <v>17057.786</v>
          </cell>
          <cell r="AO258">
            <v>17508.059000000001</v>
          </cell>
          <cell r="AP258">
            <v>17968.53</v>
          </cell>
          <cell r="AQ258">
            <v>18437.737000000001</v>
          </cell>
          <cell r="AR258">
            <v>18912.431</v>
          </cell>
          <cell r="AS258">
            <v>19388.261999999999</v>
          </cell>
          <cell r="AT258">
            <v>19861.958999999999</v>
          </cell>
          <cell r="AU258">
            <v>20332.246999999999</v>
          </cell>
          <cell r="AV258">
            <v>20799.471000000001</v>
          </cell>
          <cell r="AW258">
            <v>21263.993999999999</v>
          </cell>
          <cell r="AX258">
            <v>21726.808000000001</v>
          </cell>
          <cell r="AY258">
            <v>22188.670999999998</v>
          </cell>
          <cell r="AZ258">
            <v>22649.212</v>
          </cell>
          <cell r="BA258">
            <v>23108.003000000001</v>
          </cell>
          <cell r="BB258">
            <v>23565.734</v>
          </cell>
          <cell r="BC258">
            <v>24023.355</v>
          </cell>
          <cell r="BD258">
            <v>24481.476999999999</v>
          </cell>
          <cell r="BE258">
            <v>24940.223000000002</v>
          </cell>
          <cell r="BF258">
            <v>25399.143</v>
          </cell>
          <cell r="BG258">
            <v>25857.553</v>
          </cell>
          <cell r="BH258">
            <v>26314.483</v>
          </cell>
          <cell r="BI258">
            <v>26769.115000000002</v>
          </cell>
          <cell r="BJ258">
            <v>27221.227999999999</v>
          </cell>
          <cell r="BK258">
            <v>27670.659</v>
          </cell>
          <cell r="BL258">
            <v>28116.716</v>
          </cell>
          <cell r="BM258">
            <v>28558.607</v>
          </cell>
          <cell r="BN258">
            <v>28995.744999999999</v>
          </cell>
          <cell r="BO258">
            <v>29427.631000000001</v>
          </cell>
          <cell r="BP258">
            <v>29854.238000000001</v>
          </cell>
          <cell r="BQ258">
            <v>30276.044999999998</v>
          </cell>
          <cell r="BR258">
            <v>30693.827000000001</v>
          </cell>
          <cell r="BS258">
            <v>31108.082999999999</v>
          </cell>
        </row>
        <row r="259">
          <cell r="E259">
            <v>905</v>
          </cell>
          <cell r="F259">
            <v>171614.86799999999</v>
          </cell>
          <cell r="G259">
            <v>174046.644</v>
          </cell>
          <cell r="H259">
            <v>176828.951</v>
          </cell>
          <cell r="I259">
            <v>179892.09400000001</v>
          </cell>
          <cell r="J259">
            <v>183170.26800000001</v>
          </cell>
          <cell r="K259">
            <v>186601.565</v>
          </cell>
          <cell r="L259">
            <v>190127.83199999999</v>
          </cell>
          <cell r="M259">
            <v>193694.80499999999</v>
          </cell>
          <cell r="N259">
            <v>197252.50899999999</v>
          </cell>
          <cell r="O259">
            <v>200755.90400000001</v>
          </cell>
          <cell r="P259">
            <v>204166.861</v>
          </cell>
          <cell r="Q259">
            <v>207456.25700000001</v>
          </cell>
          <cell r="R259">
            <v>210605.80799999999</v>
          </cell>
          <cell r="S259">
            <v>213608.86600000001</v>
          </cell>
          <cell r="T259">
            <v>216468.18</v>
          </cell>
          <cell r="U259">
            <v>219189.33900000001</v>
          </cell>
          <cell r="V259">
            <v>221765.16099999999</v>
          </cell>
          <cell r="W259">
            <v>224199.66</v>
          </cell>
          <cell r="X259">
            <v>226526.18100000001</v>
          </cell>
          <cell r="Y259">
            <v>228790.33</v>
          </cell>
          <cell r="Z259">
            <v>231028.82500000001</v>
          </cell>
          <cell r="AA259">
            <v>233253.845</v>
          </cell>
          <cell r="AB259">
            <v>235468.65599999999</v>
          </cell>
          <cell r="AC259">
            <v>237690.1</v>
          </cell>
          <cell r="AD259">
            <v>239934.69200000001</v>
          </cell>
          <cell r="AE259">
            <v>242214.62899999999</v>
          </cell>
          <cell r="AF259">
            <v>244544.258</v>
          </cell>
          <cell r="AG259">
            <v>246926.32800000001</v>
          </cell>
          <cell r="AH259">
            <v>249346.478</v>
          </cell>
          <cell r="AI259">
            <v>251781.74299999999</v>
          </cell>
          <cell r="AJ259">
            <v>254217.16099999999</v>
          </cell>
          <cell r="AK259">
            <v>256648.28</v>
          </cell>
          <cell r="AL259">
            <v>259086.318</v>
          </cell>
          <cell r="AM259">
            <v>261550.64300000001</v>
          </cell>
          <cell r="AN259">
            <v>264068.098</v>
          </cell>
          <cell r="AO259">
            <v>266657.94900000002</v>
          </cell>
          <cell r="AP259">
            <v>269332.62300000002</v>
          </cell>
          <cell r="AQ259">
            <v>272087.67</v>
          </cell>
          <cell r="AR259">
            <v>274905.473</v>
          </cell>
          <cell r="AS259">
            <v>277759.40000000002</v>
          </cell>
          <cell r="AT259">
            <v>280633.06300000002</v>
          </cell>
          <cell r="AU259">
            <v>283504.65500000003</v>
          </cell>
          <cell r="AV259">
            <v>286385.88699999999</v>
          </cell>
          <cell r="AW259">
            <v>289332.52899999998</v>
          </cell>
          <cell r="AX259">
            <v>292421.641</v>
          </cell>
          <cell r="AY259">
            <v>295699.81</v>
          </cell>
          <cell r="AZ259">
            <v>299199.29300000001</v>
          </cell>
          <cell r="BA259">
            <v>302879.38</v>
          </cell>
          <cell r="BB259">
            <v>306624.98700000002</v>
          </cell>
          <cell r="BC259">
            <v>310277.11099999998</v>
          </cell>
          <cell r="BD259">
            <v>313724.12400000001</v>
          </cell>
          <cell r="BE259">
            <v>316914.46299999999</v>
          </cell>
          <cell r="BF259">
            <v>319886.82</v>
          </cell>
          <cell r="BG259">
            <v>322729.92700000003</v>
          </cell>
          <cell r="BH259">
            <v>325577.65399999998</v>
          </cell>
          <cell r="BI259">
            <v>328524.304</v>
          </cell>
          <cell r="BJ259">
            <v>331600.23800000001</v>
          </cell>
          <cell r="BK259">
            <v>334766.27899999998</v>
          </cell>
          <cell r="BL259">
            <v>337964.08299999998</v>
          </cell>
          <cell r="BM259">
            <v>341105.761</v>
          </cell>
          <cell r="BN259">
            <v>344129.11700000003</v>
          </cell>
          <cell r="BO259">
            <v>347016.56599999999</v>
          </cell>
          <cell r="BP259">
            <v>349793.41399999999</v>
          </cell>
          <cell r="BQ259">
            <v>352491.84399999998</v>
          </cell>
          <cell r="BR259">
            <v>355161.29300000001</v>
          </cell>
          <cell r="BS259">
            <v>357838.03600000002</v>
          </cell>
        </row>
        <row r="260">
          <cell r="E260">
            <v>60</v>
          </cell>
          <cell r="F260">
            <v>37.26</v>
          </cell>
          <cell r="G260">
            <v>37.819000000000003</v>
          </cell>
          <cell r="H260">
            <v>38.473999999999997</v>
          </cell>
          <cell r="I260">
            <v>39.195999999999998</v>
          </cell>
          <cell r="J260">
            <v>39.963000000000001</v>
          </cell>
          <cell r="K260">
            <v>40.758000000000003</v>
          </cell>
          <cell r="L260">
            <v>41.569000000000003</v>
          </cell>
          <cell r="M260">
            <v>42.393000000000001</v>
          </cell>
          <cell r="N260">
            <v>43.228999999999999</v>
          </cell>
          <cell r="O260">
            <v>44.079000000000001</v>
          </cell>
          <cell r="P260">
            <v>44.948</v>
          </cell>
          <cell r="Q260">
            <v>45.834000000000003</v>
          </cell>
          <cell r="R260">
            <v>46.723999999999997</v>
          </cell>
          <cell r="S260">
            <v>47.600999999999999</v>
          </cell>
          <cell r="T260">
            <v>48.436</v>
          </cell>
          <cell r="U260">
            <v>49.210999999999999</v>
          </cell>
          <cell r="V260">
            <v>49.915999999999997</v>
          </cell>
          <cell r="W260">
            <v>50.555</v>
          </cell>
          <cell r="X260">
            <v>51.148000000000003</v>
          </cell>
          <cell r="Y260">
            <v>51.719000000000001</v>
          </cell>
          <cell r="Z260">
            <v>52.286000000000001</v>
          </cell>
          <cell r="AA260">
            <v>52.856999999999999</v>
          </cell>
          <cell r="AB260">
            <v>53.426000000000002</v>
          </cell>
          <cell r="AC260">
            <v>53.98</v>
          </cell>
          <cell r="AD260">
            <v>54.506999999999998</v>
          </cell>
          <cell r="AE260">
            <v>54.994</v>
          </cell>
          <cell r="AF260">
            <v>55.439</v>
          </cell>
          <cell r="AG260">
            <v>55.850999999999999</v>
          </cell>
          <cell r="AH260">
            <v>56.237000000000002</v>
          </cell>
          <cell r="AI260">
            <v>56.613</v>
          </cell>
          <cell r="AJ260">
            <v>56.99</v>
          </cell>
          <cell r="AK260">
            <v>57.37</v>
          </cell>
          <cell r="AL260">
            <v>57.752000000000002</v>
          </cell>
          <cell r="AM260">
            <v>58.137999999999998</v>
          </cell>
          <cell r="AN260">
            <v>58.527999999999999</v>
          </cell>
          <cell r="AO260">
            <v>58.923000000000002</v>
          </cell>
          <cell r="AP260">
            <v>59.323999999999998</v>
          </cell>
          <cell r="AQ260">
            <v>59.73</v>
          </cell>
          <cell r="AR260">
            <v>60.137999999999998</v>
          </cell>
          <cell r="AS260">
            <v>60.539000000000001</v>
          </cell>
          <cell r="AT260">
            <v>60.930999999999997</v>
          </cell>
          <cell r="AU260">
            <v>61.311</v>
          </cell>
          <cell r="AV260">
            <v>61.68</v>
          </cell>
          <cell r="AW260">
            <v>62.036000000000001</v>
          </cell>
          <cell r="AX260">
            <v>62.374000000000002</v>
          </cell>
          <cell r="AY260">
            <v>62.694000000000003</v>
          </cell>
          <cell r="AZ260">
            <v>62.988999999999997</v>
          </cell>
          <cell r="BA260">
            <v>63.256999999999998</v>
          </cell>
          <cell r="BB260">
            <v>63.511000000000003</v>
          </cell>
          <cell r="BC260">
            <v>63.768000000000001</v>
          </cell>
          <cell r="BD260">
            <v>64.034999999999997</v>
          </cell>
          <cell r="BE260">
            <v>64.320999999999998</v>
          </cell>
          <cell r="BF260">
            <v>64.614000000000004</v>
          </cell>
          <cell r="BG260">
            <v>64.875</v>
          </cell>
          <cell r="BH260">
            <v>65.058000000000007</v>
          </cell>
          <cell r="BI260">
            <v>65.123999999999995</v>
          </cell>
          <cell r="BJ260">
            <v>65.063999999999993</v>
          </cell>
          <cell r="BK260">
            <v>64.891000000000005</v>
          </cell>
          <cell r="BL260">
            <v>64.626999999999995</v>
          </cell>
          <cell r="BM260">
            <v>64.305999999999997</v>
          </cell>
          <cell r="BN260">
            <v>63.954000000000001</v>
          </cell>
          <cell r="BO260">
            <v>63.578000000000003</v>
          </cell>
          <cell r="BP260">
            <v>63.179000000000002</v>
          </cell>
          <cell r="BQ260">
            <v>62.773000000000003</v>
          </cell>
          <cell r="BR260">
            <v>62.375999999999998</v>
          </cell>
          <cell r="BS260">
            <v>62.003999999999998</v>
          </cell>
        </row>
        <row r="261">
          <cell r="E261">
            <v>124</v>
          </cell>
          <cell r="F261">
            <v>13736.996999999999</v>
          </cell>
          <cell r="G261">
            <v>14099.994000000001</v>
          </cell>
          <cell r="H261">
            <v>14481.496999999999</v>
          </cell>
          <cell r="I261">
            <v>14882.05</v>
          </cell>
          <cell r="J261">
            <v>15300.472</v>
          </cell>
          <cell r="K261">
            <v>15733.858</v>
          </cell>
          <cell r="L261">
            <v>16177.450999999999</v>
          </cell>
          <cell r="M261">
            <v>16624.767</v>
          </cell>
          <cell r="N261">
            <v>17067.983</v>
          </cell>
          <cell r="O261">
            <v>17498.573</v>
          </cell>
          <cell r="P261">
            <v>17909.232</v>
          </cell>
          <cell r="Q261">
            <v>18295.921999999999</v>
          </cell>
          <cell r="R261">
            <v>18659.663</v>
          </cell>
          <cell r="S261">
            <v>19007.305</v>
          </cell>
          <cell r="T261">
            <v>19349.346000000001</v>
          </cell>
          <cell r="U261">
            <v>19693.538</v>
          </cell>
          <cell r="V261">
            <v>20041.006000000001</v>
          </cell>
          <cell r="W261">
            <v>20389.445</v>
          </cell>
          <cell r="X261">
            <v>20739.030999999999</v>
          </cell>
          <cell r="Y261">
            <v>21089.227999999999</v>
          </cell>
          <cell r="Z261">
            <v>21439.200000000001</v>
          </cell>
          <cell r="AA261">
            <v>21790.338</v>
          </cell>
          <cell r="AB261">
            <v>22141.998</v>
          </cell>
          <cell r="AC261">
            <v>22488.743999999999</v>
          </cell>
          <cell r="AD261">
            <v>22823.272000000001</v>
          </cell>
          <cell r="AE261">
            <v>23140.609</v>
          </cell>
          <cell r="AF261">
            <v>23439.94</v>
          </cell>
          <cell r="AG261">
            <v>23723.800999999999</v>
          </cell>
          <cell r="AH261">
            <v>23994.948</v>
          </cell>
          <cell r="AI261">
            <v>24257.594000000001</v>
          </cell>
          <cell r="AJ261">
            <v>24515.788</v>
          </cell>
          <cell r="AK261">
            <v>24768.525000000001</v>
          </cell>
          <cell r="AL261">
            <v>25017.501</v>
          </cell>
          <cell r="AM261">
            <v>25272.655999999999</v>
          </cell>
          <cell r="AN261">
            <v>25546.736000000001</v>
          </cell>
          <cell r="AO261">
            <v>25848.172999999999</v>
          </cell>
          <cell r="AP261">
            <v>26181.342000000001</v>
          </cell>
          <cell r="AQ261">
            <v>26541.981</v>
          </cell>
          <cell r="AR261">
            <v>26919.036</v>
          </cell>
          <cell r="AS261">
            <v>27296.517</v>
          </cell>
          <cell r="AT261">
            <v>27662.44</v>
          </cell>
          <cell r="AU261">
            <v>28014.101999999999</v>
          </cell>
          <cell r="AV261">
            <v>28353.843000000001</v>
          </cell>
          <cell r="AW261">
            <v>28680.920999999998</v>
          </cell>
          <cell r="AX261">
            <v>28995.822</v>
          </cell>
          <cell r="AY261">
            <v>29299.477999999999</v>
          </cell>
          <cell r="AZ261">
            <v>29590.952000000001</v>
          </cell>
          <cell r="BA261">
            <v>29871.092000000001</v>
          </cell>
          <cell r="BB261">
            <v>30145.148000000001</v>
          </cell>
          <cell r="BC261">
            <v>30420.216</v>
          </cell>
          <cell r="BD261">
            <v>30701.902999999998</v>
          </cell>
          <cell r="BE261">
            <v>30991.344000000001</v>
          </cell>
          <cell r="BF261">
            <v>31288.572</v>
          </cell>
          <cell r="BG261">
            <v>31596.593000000001</v>
          </cell>
          <cell r="BH261">
            <v>31918.581999999999</v>
          </cell>
          <cell r="BI261">
            <v>32256.332999999999</v>
          </cell>
          <cell r="BJ261">
            <v>32611.436000000002</v>
          </cell>
          <cell r="BK261">
            <v>32982.275000000001</v>
          </cell>
          <cell r="BL261">
            <v>33363.256000000001</v>
          </cell>
          <cell r="BM261">
            <v>33746.559000000001</v>
          </cell>
          <cell r="BN261">
            <v>34126.173000000003</v>
          </cell>
          <cell r="BO261">
            <v>34499.904999999999</v>
          </cell>
          <cell r="BP261">
            <v>34868.150999999998</v>
          </cell>
          <cell r="BQ261">
            <v>35230.612000000001</v>
          </cell>
          <cell r="BR261">
            <v>35587.792999999998</v>
          </cell>
          <cell r="BS261">
            <v>35939.927000000003</v>
          </cell>
        </row>
        <row r="262">
          <cell r="E262">
            <v>304</v>
          </cell>
          <cell r="F262">
            <v>22.998000000000001</v>
          </cell>
          <cell r="G262">
            <v>23.47</v>
          </cell>
          <cell r="H262">
            <v>23.940999999999999</v>
          </cell>
          <cell r="I262">
            <v>24.469000000000001</v>
          </cell>
          <cell r="J262">
            <v>25.094000000000001</v>
          </cell>
          <cell r="K262">
            <v>25.844999999999999</v>
          </cell>
          <cell r="L262">
            <v>26.728000000000002</v>
          </cell>
          <cell r="M262">
            <v>27.734000000000002</v>
          </cell>
          <cell r="N262">
            <v>28.841999999999999</v>
          </cell>
          <cell r="O262">
            <v>30.021000000000001</v>
          </cell>
          <cell r="P262">
            <v>31.238</v>
          </cell>
          <cell r="Q262">
            <v>32.473999999999997</v>
          </cell>
          <cell r="R262">
            <v>33.729999999999997</v>
          </cell>
          <cell r="S262">
            <v>35.037999999999997</v>
          </cell>
          <cell r="T262">
            <v>36.441000000000003</v>
          </cell>
          <cell r="U262">
            <v>37.963000000000001</v>
          </cell>
          <cell r="V262">
            <v>39.616</v>
          </cell>
          <cell r="W262">
            <v>41.36</v>
          </cell>
          <cell r="X262">
            <v>43.1</v>
          </cell>
          <cell r="Y262">
            <v>44.703000000000003</v>
          </cell>
          <cell r="Z262">
            <v>46.075000000000003</v>
          </cell>
          <cell r="AA262">
            <v>47.19</v>
          </cell>
          <cell r="AB262">
            <v>48.073</v>
          </cell>
          <cell r="AC262">
            <v>48.74</v>
          </cell>
          <cell r="AD262">
            <v>49.231000000000002</v>
          </cell>
          <cell r="AE262">
            <v>49.582000000000001</v>
          </cell>
          <cell r="AF262">
            <v>49.783999999999999</v>
          </cell>
          <cell r="AG262">
            <v>49.847999999999999</v>
          </cell>
          <cell r="AH262">
            <v>49.863999999999997</v>
          </cell>
          <cell r="AI262">
            <v>49.947000000000003</v>
          </cell>
          <cell r="AJ262">
            <v>50.176000000000002</v>
          </cell>
          <cell r="AK262">
            <v>50.587000000000003</v>
          </cell>
          <cell r="AL262">
            <v>51.158000000000001</v>
          </cell>
          <cell r="AM262">
            <v>51.834000000000003</v>
          </cell>
          <cell r="AN262">
            <v>52.531999999999996</v>
          </cell>
          <cell r="AO262">
            <v>53.189</v>
          </cell>
          <cell r="AP262">
            <v>53.798999999999999</v>
          </cell>
          <cell r="AQ262">
            <v>54.371000000000002</v>
          </cell>
          <cell r="AR262">
            <v>54.878999999999998</v>
          </cell>
          <cell r="AS262">
            <v>55.295999999999999</v>
          </cell>
          <cell r="AT262">
            <v>55.603000000000002</v>
          </cell>
          <cell r="AU262">
            <v>55.786000000000001</v>
          </cell>
          <cell r="AV262">
            <v>55.853999999999999</v>
          </cell>
          <cell r="AW262">
            <v>55.844999999999999</v>
          </cell>
          <cell r="AX262">
            <v>55.817</v>
          </cell>
          <cell r="AY262">
            <v>55.808999999999997</v>
          </cell>
          <cell r="AZ262">
            <v>55.832000000000001</v>
          </cell>
          <cell r="BA262">
            <v>55.875999999999998</v>
          </cell>
          <cell r="BB262">
            <v>55.948</v>
          </cell>
          <cell r="BC262">
            <v>56.048999999999999</v>
          </cell>
          <cell r="BD262">
            <v>56.173999999999999</v>
          </cell>
          <cell r="BE262">
            <v>56.334000000000003</v>
          </cell>
          <cell r="BF262">
            <v>56.524999999999999</v>
          </cell>
          <cell r="BG262">
            <v>56.716999999999999</v>
          </cell>
          <cell r="BH262">
            <v>56.869</v>
          </cell>
          <cell r="BI262">
            <v>56.953000000000003</v>
          </cell>
          <cell r="BJ262">
            <v>56.957999999999998</v>
          </cell>
          <cell r="BK262">
            <v>56.896000000000001</v>
          </cell>
          <cell r="BL262">
            <v>56.787999999999997</v>
          </cell>
          <cell r="BM262">
            <v>56.662999999999997</v>
          </cell>
          <cell r="BN262">
            <v>56.545999999999999</v>
          </cell>
          <cell r="BO262">
            <v>56.441000000000003</v>
          </cell>
          <cell r="BP262">
            <v>56.344000000000001</v>
          </cell>
          <cell r="BQ262">
            <v>56.265000000000001</v>
          </cell>
          <cell r="BR262">
            <v>56.210999999999999</v>
          </cell>
          <cell r="BS262">
            <v>56.186</v>
          </cell>
        </row>
        <row r="263">
          <cell r="E263">
            <v>666</v>
          </cell>
          <cell r="F263">
            <v>4.5730000000000004</v>
          </cell>
          <cell r="G263">
            <v>4.6050000000000004</v>
          </cell>
          <cell r="H263">
            <v>4.6340000000000003</v>
          </cell>
          <cell r="I263">
            <v>4.6630000000000003</v>
          </cell>
          <cell r="J263">
            <v>4.6929999999999996</v>
          </cell>
          <cell r="K263">
            <v>4.726</v>
          </cell>
          <cell r="L263">
            <v>4.7629999999999999</v>
          </cell>
          <cell r="M263">
            <v>4.8029999999999999</v>
          </cell>
          <cell r="N263">
            <v>4.843</v>
          </cell>
          <cell r="O263">
            <v>4.883</v>
          </cell>
          <cell r="P263">
            <v>4.9189999999999996</v>
          </cell>
          <cell r="Q263">
            <v>4.9509999999999996</v>
          </cell>
          <cell r="R263">
            <v>4.9809999999999999</v>
          </cell>
          <cell r="S263">
            <v>5.0110000000000001</v>
          </cell>
          <cell r="T263">
            <v>5.0490000000000004</v>
          </cell>
          <cell r="U263">
            <v>5.0949999999999998</v>
          </cell>
          <cell r="V263">
            <v>5.1520000000000001</v>
          </cell>
          <cell r="W263">
            <v>5.218</v>
          </cell>
          <cell r="X263">
            <v>5.2910000000000004</v>
          </cell>
          <cell r="Y263">
            <v>5.3719999999999999</v>
          </cell>
          <cell r="Z263">
            <v>5.4569999999999999</v>
          </cell>
          <cell r="AA263">
            <v>5.548</v>
          </cell>
          <cell r="AB263">
            <v>5.6440000000000001</v>
          </cell>
          <cell r="AC263">
            <v>5.7359999999999998</v>
          </cell>
          <cell r="AD263">
            <v>5.8170000000000002</v>
          </cell>
          <cell r="AE263">
            <v>5.883</v>
          </cell>
          <cell r="AF263">
            <v>5.9290000000000003</v>
          </cell>
          <cell r="AG263">
            <v>5.9569999999999999</v>
          </cell>
          <cell r="AH263">
            <v>5.9729999999999999</v>
          </cell>
          <cell r="AI263">
            <v>5.9850000000000003</v>
          </cell>
          <cell r="AJ263">
            <v>5.9989999999999997</v>
          </cell>
          <cell r="AK263">
            <v>6.0149999999999997</v>
          </cell>
          <cell r="AL263">
            <v>6.0330000000000004</v>
          </cell>
          <cell r="AM263">
            <v>6.0540000000000003</v>
          </cell>
          <cell r="AN263">
            <v>6.0789999999999997</v>
          </cell>
          <cell r="AO263">
            <v>6.1070000000000002</v>
          </cell>
          <cell r="AP263">
            <v>6.141</v>
          </cell>
          <cell r="AQ263">
            <v>6.1790000000000003</v>
          </cell>
          <cell r="AR263">
            <v>6.218</v>
          </cell>
          <cell r="AS263">
            <v>6.2530000000000001</v>
          </cell>
          <cell r="AT263">
            <v>6.2789999999999999</v>
          </cell>
          <cell r="AU263">
            <v>6.2960000000000003</v>
          </cell>
          <cell r="AV263">
            <v>6.3040000000000003</v>
          </cell>
          <cell r="AW263">
            <v>6.3070000000000004</v>
          </cell>
          <cell r="AX263">
            <v>6.3049999999999997</v>
          </cell>
          <cell r="AY263">
            <v>6.3010000000000002</v>
          </cell>
          <cell r="AZ263">
            <v>6.2960000000000003</v>
          </cell>
          <cell r="BA263">
            <v>6.29</v>
          </cell>
          <cell r="BB263">
            <v>6.2839999999999998</v>
          </cell>
          <cell r="BC263">
            <v>6.2770000000000001</v>
          </cell>
          <cell r="BD263">
            <v>6.2709999999999999</v>
          </cell>
          <cell r="BE263">
            <v>6.266</v>
          </cell>
          <cell r="BF263">
            <v>6.2619999999999996</v>
          </cell>
          <cell r="BG263">
            <v>6.26</v>
          </cell>
          <cell r="BH263">
            <v>6.2590000000000003</v>
          </cell>
          <cell r="BI263">
            <v>6.2590000000000003</v>
          </cell>
          <cell r="BJ263">
            <v>6.2610000000000001</v>
          </cell>
          <cell r="BK263">
            <v>6.2640000000000002</v>
          </cell>
          <cell r="BL263">
            <v>6.2690000000000001</v>
          </cell>
          <cell r="BM263">
            <v>6.2720000000000002</v>
          </cell>
          <cell r="BN263">
            <v>6.274</v>
          </cell>
          <cell r="BO263">
            <v>6.274</v>
          </cell>
          <cell r="BP263">
            <v>6.2750000000000004</v>
          </cell>
          <cell r="BQ263">
            <v>6.2750000000000004</v>
          </cell>
          <cell r="BR263">
            <v>6.2789999999999999</v>
          </cell>
          <cell r="BS263">
            <v>6.2880000000000003</v>
          </cell>
        </row>
        <row r="264">
          <cell r="E264">
            <v>840</v>
          </cell>
          <cell r="F264">
            <v>157813.04</v>
          </cell>
          <cell r="G264">
            <v>159880.75599999999</v>
          </cell>
          <cell r="H264">
            <v>162280.405</v>
          </cell>
          <cell r="I264">
            <v>164941.71599999999</v>
          </cell>
          <cell r="J264">
            <v>167800.046</v>
          </cell>
          <cell r="K264">
            <v>170796.378</v>
          </cell>
          <cell r="L264">
            <v>173877.321</v>
          </cell>
          <cell r="M264">
            <v>176995.10800000001</v>
          </cell>
          <cell r="N264">
            <v>180107.61199999999</v>
          </cell>
          <cell r="O264">
            <v>183178.348</v>
          </cell>
          <cell r="P264">
            <v>186176.524</v>
          </cell>
          <cell r="Q264">
            <v>189077.076</v>
          </cell>
          <cell r="R264">
            <v>191860.71</v>
          </cell>
          <cell r="S264">
            <v>194513.91099999999</v>
          </cell>
          <cell r="T264">
            <v>197028.908</v>
          </cell>
          <cell r="U264">
            <v>199403.53200000001</v>
          </cell>
          <cell r="V264">
            <v>201629.47099999999</v>
          </cell>
          <cell r="W264">
            <v>203713.08199999999</v>
          </cell>
          <cell r="X264">
            <v>205687.611</v>
          </cell>
          <cell r="Y264">
            <v>207599.30799999999</v>
          </cell>
          <cell r="Z264">
            <v>209485.807</v>
          </cell>
          <cell r="AA264">
            <v>211357.91200000001</v>
          </cell>
          <cell r="AB264">
            <v>213219.51500000001</v>
          </cell>
          <cell r="AC264">
            <v>215092.9</v>
          </cell>
          <cell r="AD264">
            <v>217001.86499999999</v>
          </cell>
          <cell r="AE264">
            <v>218963.56099999999</v>
          </cell>
          <cell r="AF264">
            <v>220993.166</v>
          </cell>
          <cell r="AG264">
            <v>223090.87100000001</v>
          </cell>
          <cell r="AH264">
            <v>225239.45600000001</v>
          </cell>
          <cell r="AI264">
            <v>227411.60399999999</v>
          </cell>
          <cell r="AJ264">
            <v>229588.20800000001</v>
          </cell>
          <cell r="AK264">
            <v>231765.783</v>
          </cell>
          <cell r="AL264">
            <v>233953.87400000001</v>
          </cell>
          <cell r="AM264">
            <v>236161.96100000001</v>
          </cell>
          <cell r="AN264">
            <v>238404.223</v>
          </cell>
          <cell r="AO264">
            <v>240691.557</v>
          </cell>
          <cell r="AP264">
            <v>243032.01699999999</v>
          </cell>
          <cell r="AQ264">
            <v>245425.40900000001</v>
          </cell>
          <cell r="AR264">
            <v>247865.20199999999</v>
          </cell>
          <cell r="AS264">
            <v>250340.79500000001</v>
          </cell>
          <cell r="AT264">
            <v>252847.81</v>
          </cell>
          <cell r="AU264">
            <v>255367.16</v>
          </cell>
          <cell r="AV264">
            <v>257908.20600000001</v>
          </cell>
          <cell r="AW264">
            <v>260527.42</v>
          </cell>
          <cell r="AX264">
            <v>263301.32299999997</v>
          </cell>
          <cell r="AY264">
            <v>266275.52799999999</v>
          </cell>
          <cell r="AZ264">
            <v>269483.22399999999</v>
          </cell>
          <cell r="BA264">
            <v>272882.86499999999</v>
          </cell>
          <cell r="BB264">
            <v>276354.09600000002</v>
          </cell>
          <cell r="BC264">
            <v>279730.80099999998</v>
          </cell>
          <cell r="BD264">
            <v>282895.74099999998</v>
          </cell>
          <cell r="BE264">
            <v>285796.19799999997</v>
          </cell>
          <cell r="BF264">
            <v>288470.84700000001</v>
          </cell>
          <cell r="BG264">
            <v>291005.48200000002</v>
          </cell>
          <cell r="BH264">
            <v>293530.886</v>
          </cell>
          <cell r="BI264">
            <v>296139.63500000001</v>
          </cell>
          <cell r="BJ264">
            <v>298860.51899999997</v>
          </cell>
          <cell r="BK264">
            <v>301655.95299999998</v>
          </cell>
          <cell r="BL264">
            <v>304473.14299999998</v>
          </cell>
          <cell r="BM264">
            <v>307231.96100000001</v>
          </cell>
          <cell r="BN264">
            <v>309876.17</v>
          </cell>
          <cell r="BO264">
            <v>312390.36800000002</v>
          </cell>
          <cell r="BP264">
            <v>314799.46500000003</v>
          </cell>
          <cell r="BQ264">
            <v>317135.91899999999</v>
          </cell>
          <cell r="BR264">
            <v>319448.63400000002</v>
          </cell>
          <cell r="BS264">
            <v>321773.63099999999</v>
          </cell>
        </row>
        <row r="265">
          <cell r="E265">
            <v>909</v>
          </cell>
          <cell r="F265">
            <v>12681.946</v>
          </cell>
          <cell r="G265">
            <v>13003.11</v>
          </cell>
          <cell r="H265">
            <v>13301.164000000001</v>
          </cell>
          <cell r="I265">
            <v>13589.611000000001</v>
          </cell>
          <cell r="J265">
            <v>13878.62</v>
          </cell>
          <cell r="K265">
            <v>14175.058999999999</v>
          </cell>
          <cell r="L265">
            <v>14482.294</v>
          </cell>
          <cell r="M265">
            <v>14800.379000000001</v>
          </cell>
          <cell r="N265">
            <v>15126.499</v>
          </cell>
          <cell r="O265">
            <v>15455.773999999999</v>
          </cell>
          <cell r="P265">
            <v>15783.582</v>
          </cell>
          <cell r="Q265">
            <v>16108.074000000001</v>
          </cell>
          <cell r="R265">
            <v>16432.363000000001</v>
          </cell>
          <cell r="S265">
            <v>16765.423999999999</v>
          </cell>
          <cell r="T265">
            <v>17119.495999999999</v>
          </cell>
          <cell r="U265">
            <v>17502.231</v>
          </cell>
          <cell r="V265">
            <v>17917.327000000001</v>
          </cell>
          <cell r="W265">
            <v>18358.91</v>
          </cell>
          <cell r="X265">
            <v>18813.21</v>
          </cell>
          <cell r="Y265">
            <v>19260.995999999999</v>
          </cell>
          <cell r="Z265">
            <v>19687.988000000001</v>
          </cell>
          <cell r="AA265">
            <v>20091.091</v>
          </cell>
          <cell r="AB265">
            <v>20473.308000000001</v>
          </cell>
          <cell r="AC265">
            <v>20834.242999999999</v>
          </cell>
          <cell r="AD265">
            <v>21175.154999999999</v>
          </cell>
          <cell r="AE265">
            <v>21498.199000000001</v>
          </cell>
          <cell r="AF265">
            <v>21801.276999999998</v>
          </cell>
          <cell r="AG265">
            <v>22086.716</v>
          </cell>
          <cell r="AH265">
            <v>22366.85</v>
          </cell>
          <cell r="AI265">
            <v>22658.071</v>
          </cell>
          <cell r="AJ265">
            <v>22972.278999999999</v>
          </cell>
          <cell r="AK265">
            <v>23314.102999999999</v>
          </cell>
          <cell r="AL265">
            <v>23680.852999999999</v>
          </cell>
          <cell r="AM265">
            <v>24067.917000000001</v>
          </cell>
          <cell r="AN265">
            <v>24467.39</v>
          </cell>
          <cell r="AO265">
            <v>24873.106</v>
          </cell>
          <cell r="AP265">
            <v>25284.256000000001</v>
          </cell>
          <cell r="AQ265">
            <v>25701.915000000001</v>
          </cell>
          <cell r="AR265">
            <v>26123.774000000001</v>
          </cell>
          <cell r="AS265">
            <v>26547.329000000002</v>
          </cell>
          <cell r="AT265">
            <v>26970.562000000002</v>
          </cell>
          <cell r="AU265">
            <v>27393.057000000001</v>
          </cell>
          <cell r="AV265">
            <v>27814.398000000001</v>
          </cell>
          <cell r="AW265">
            <v>28232.784</v>
          </cell>
          <cell r="AX265">
            <v>28646.226999999999</v>
          </cell>
          <cell r="AY265">
            <v>29053.844000000001</v>
          </cell>
          <cell r="AZ265">
            <v>29455.8</v>
          </cell>
          <cell r="BA265">
            <v>29854.144</v>
          </cell>
          <cell r="BB265">
            <v>30252.440999999999</v>
          </cell>
          <cell r="BC265">
            <v>30655.472000000002</v>
          </cell>
          <cell r="BD265">
            <v>31067.62</v>
          </cell>
          <cell r="BE265">
            <v>31488.052</v>
          </cell>
          <cell r="BF265">
            <v>31918.386999999999</v>
          </cell>
          <cell r="BG265">
            <v>32368.118999999999</v>
          </cell>
          <cell r="BH265">
            <v>32849.296000000002</v>
          </cell>
          <cell r="BI265">
            <v>33369.472000000002</v>
          </cell>
          <cell r="BJ265">
            <v>33933.089</v>
          </cell>
          <cell r="BK265">
            <v>34534.964999999997</v>
          </cell>
          <cell r="BL265">
            <v>35160.97</v>
          </cell>
          <cell r="BM265">
            <v>35791.192999999999</v>
          </cell>
          <cell r="BN265">
            <v>36410.779000000002</v>
          </cell>
          <cell r="BO265">
            <v>37014.521000000001</v>
          </cell>
          <cell r="BP265">
            <v>37605.014000000003</v>
          </cell>
          <cell r="BQ265">
            <v>38184.665999999997</v>
          </cell>
          <cell r="BR265">
            <v>38758.786</v>
          </cell>
          <cell r="BS265">
            <v>39331.129999999997</v>
          </cell>
        </row>
        <row r="266">
          <cell r="E266">
            <v>927</v>
          </cell>
          <cell r="F266">
            <v>10085.344999999999</v>
          </cell>
          <cell r="G266">
            <v>10365.441999999999</v>
          </cell>
          <cell r="H266">
            <v>10619.671</v>
          </cell>
          <cell r="I266">
            <v>10861.953</v>
          </cell>
          <cell r="J266">
            <v>11102.701999999999</v>
          </cell>
          <cell r="K266">
            <v>11348.824000000001</v>
          </cell>
          <cell r="L266">
            <v>11603.545</v>
          </cell>
          <cell r="M266">
            <v>11866.584000000001</v>
          </cell>
          <cell r="N266">
            <v>12134.648999999999</v>
          </cell>
          <cell r="O266">
            <v>12402.272999999999</v>
          </cell>
          <cell r="P266">
            <v>12664.326999999999</v>
          </cell>
          <cell r="Q266">
            <v>12918.68</v>
          </cell>
          <cell r="R266">
            <v>13168.548000000001</v>
          </cell>
          <cell r="S266">
            <v>13423.491</v>
          </cell>
          <cell r="T266">
            <v>13696.573</v>
          </cell>
          <cell r="U266">
            <v>13996.013999999999</v>
          </cell>
          <cell r="V266">
            <v>14325.870999999999</v>
          </cell>
          <cell r="W266">
            <v>14680</v>
          </cell>
          <cell r="X266">
            <v>15043.813</v>
          </cell>
          <cell r="Y266">
            <v>15396.924000000001</v>
          </cell>
          <cell r="Z266">
            <v>15724.308000000001</v>
          </cell>
          <cell r="AA266">
            <v>16022.401</v>
          </cell>
          <cell r="AB266">
            <v>16294.707</v>
          </cell>
          <cell r="AC266">
            <v>16542.174999999999</v>
          </cell>
          <cell r="AD266">
            <v>16767.973000000002</v>
          </cell>
          <cell r="AE266">
            <v>16975.557000000001</v>
          </cell>
          <cell r="AF266">
            <v>17163.701000000001</v>
          </cell>
          <cell r="AG266">
            <v>17334.207999999999</v>
          </cell>
          <cell r="AH266">
            <v>17497.641</v>
          </cell>
          <cell r="AI266">
            <v>17667.853999999999</v>
          </cell>
          <cell r="AJ266">
            <v>17855.094000000001</v>
          </cell>
          <cell r="AK266">
            <v>18062.984</v>
          </cell>
          <cell r="AL266">
            <v>18289.891</v>
          </cell>
          <cell r="AM266">
            <v>18534.080000000002</v>
          </cell>
          <cell r="AN266">
            <v>18791.669000000002</v>
          </cell>
          <cell r="AO266">
            <v>19059.235000000001</v>
          </cell>
          <cell r="AP266">
            <v>19337.157999999999</v>
          </cell>
          <cell r="AQ266">
            <v>19625.186000000002</v>
          </cell>
          <cell r="AR266">
            <v>19918.202000000001</v>
          </cell>
          <cell r="AS266">
            <v>20209.602999999999</v>
          </cell>
          <cell r="AT266">
            <v>20494.402999999998</v>
          </cell>
          <cell r="AU266">
            <v>20771.414000000001</v>
          </cell>
          <cell r="AV266">
            <v>21041.151999999998</v>
          </cell>
          <cell r="AW266">
            <v>21302.654999999999</v>
          </cell>
          <cell r="AX266">
            <v>21555.395</v>
          </cell>
          <cell r="AY266">
            <v>21799.655999999999</v>
          </cell>
          <cell r="AZ266">
            <v>22035.579000000002</v>
          </cell>
          <cell r="BA266">
            <v>22265.073</v>
          </cell>
          <cell r="BB266">
            <v>22492.690999999999</v>
          </cell>
          <cell r="BC266">
            <v>22724.424999999999</v>
          </cell>
          <cell r="BD266">
            <v>22965.485000000001</v>
          </cell>
          <cell r="BE266">
            <v>23215.592000000001</v>
          </cell>
          <cell r="BF266">
            <v>23476.080000000002</v>
          </cell>
          <cell r="BG266">
            <v>23755.45</v>
          </cell>
          <cell r="BH266">
            <v>24064.254000000001</v>
          </cell>
          <cell r="BI266">
            <v>24408.981</v>
          </cell>
          <cell r="BJ266">
            <v>24793.812000000002</v>
          </cell>
          <cell r="BK266">
            <v>25213.97</v>
          </cell>
          <cell r="BL266">
            <v>25655.727999999999</v>
          </cell>
          <cell r="BM266">
            <v>26099.813999999998</v>
          </cell>
          <cell r="BN266">
            <v>26531.89</v>
          </cell>
          <cell r="BO266">
            <v>26946.853999999999</v>
          </cell>
          <cell r="BP266">
            <v>27347.258000000002</v>
          </cell>
          <cell r="BQ266">
            <v>27735.741000000002</v>
          </cell>
          <cell r="BR266">
            <v>28117.834999999999</v>
          </cell>
          <cell r="BS266">
            <v>28497.499</v>
          </cell>
        </row>
        <row r="267">
          <cell r="E267">
            <v>36</v>
          </cell>
          <cell r="F267">
            <v>8177.3440000000001</v>
          </cell>
          <cell r="G267">
            <v>8417.64</v>
          </cell>
          <cell r="H267">
            <v>8627.0519999999997</v>
          </cell>
          <cell r="I267">
            <v>8821.9380000000001</v>
          </cell>
          <cell r="J267">
            <v>9014.5079999999998</v>
          </cell>
          <cell r="K267">
            <v>9212.8240000000005</v>
          </cell>
          <cell r="L267">
            <v>9420.6020000000008</v>
          </cell>
          <cell r="M267">
            <v>9637.4079999999994</v>
          </cell>
          <cell r="N267">
            <v>9859.2569999999996</v>
          </cell>
          <cell r="O267">
            <v>10079.603999999999</v>
          </cell>
          <cell r="P267">
            <v>10292.328</v>
          </cell>
          <cell r="Q267">
            <v>10494.911</v>
          </cell>
          <cell r="R267">
            <v>10691.22</v>
          </cell>
          <cell r="S267">
            <v>10892.7</v>
          </cell>
          <cell r="T267">
            <v>11114.995000000001</v>
          </cell>
          <cell r="U267">
            <v>11368.011</v>
          </cell>
          <cell r="V267">
            <v>11657.281000000001</v>
          </cell>
          <cell r="W267">
            <v>11975.795</v>
          </cell>
          <cell r="X267">
            <v>12305.53</v>
          </cell>
          <cell r="Y267">
            <v>12621.24</v>
          </cell>
          <cell r="Z267">
            <v>12904.76</v>
          </cell>
          <cell r="AA267">
            <v>13150.591</v>
          </cell>
          <cell r="AB267">
            <v>13364.237999999999</v>
          </cell>
          <cell r="AC267">
            <v>13552.19</v>
          </cell>
          <cell r="AD267">
            <v>13725.4</v>
          </cell>
          <cell r="AE267">
            <v>13892.674000000001</v>
          </cell>
          <cell r="AF267">
            <v>14054.956</v>
          </cell>
          <cell r="AG267">
            <v>14211.656999999999</v>
          </cell>
          <cell r="AH267">
            <v>14368.543</v>
          </cell>
          <cell r="AI267">
            <v>14532.401</v>
          </cell>
          <cell r="AJ267">
            <v>14708.323</v>
          </cell>
          <cell r="AK267">
            <v>14898.019</v>
          </cell>
          <cell r="AL267">
            <v>15101.227000000001</v>
          </cell>
          <cell r="AM267">
            <v>15318.254000000001</v>
          </cell>
          <cell r="AN267">
            <v>15548.591</v>
          </cell>
          <cell r="AO267">
            <v>15791.043</v>
          </cell>
          <cell r="AP267">
            <v>16047.026</v>
          </cell>
          <cell r="AQ267">
            <v>16314.778</v>
          </cell>
          <cell r="AR267">
            <v>16585.904999999999</v>
          </cell>
          <cell r="AS267">
            <v>16849.253000000001</v>
          </cell>
          <cell r="AT267">
            <v>17096.868999999999</v>
          </cell>
          <cell r="AU267">
            <v>17325.817999999999</v>
          </cell>
          <cell r="AV267">
            <v>17538.386999999999</v>
          </cell>
          <cell r="AW267">
            <v>17738.428</v>
          </cell>
          <cell r="AX267">
            <v>17932.214</v>
          </cell>
          <cell r="AY267">
            <v>18124.77</v>
          </cell>
          <cell r="AZ267">
            <v>18318.34</v>
          </cell>
          <cell r="BA267">
            <v>18512.971000000001</v>
          </cell>
          <cell r="BB267">
            <v>18709.174999999999</v>
          </cell>
          <cell r="BC267">
            <v>18906.936000000002</v>
          </cell>
          <cell r="BD267">
            <v>19107.251</v>
          </cell>
          <cell r="BE267">
            <v>19308.681</v>
          </cell>
          <cell r="BF267">
            <v>19514.384999999998</v>
          </cell>
          <cell r="BG267">
            <v>19735.255000000001</v>
          </cell>
          <cell r="BH267">
            <v>19985.474999999999</v>
          </cell>
          <cell r="BI267">
            <v>20274.281999999999</v>
          </cell>
          <cell r="BJ267">
            <v>20606.227999999999</v>
          </cell>
          <cell r="BK267">
            <v>20975.949000000001</v>
          </cell>
          <cell r="BL267">
            <v>21370.348000000002</v>
          </cell>
          <cell r="BM267">
            <v>21770.69</v>
          </cell>
          <cell r="BN267">
            <v>22162.863000000001</v>
          </cell>
          <cell r="BO267">
            <v>22542.370999999999</v>
          </cell>
          <cell r="BP267">
            <v>22911.375</v>
          </cell>
          <cell r="BQ267">
            <v>23270.465</v>
          </cell>
          <cell r="BR267">
            <v>23622.352999999999</v>
          </cell>
          <cell r="BS267">
            <v>23968.973000000002</v>
          </cell>
        </row>
        <row r="268">
          <cell r="E268">
            <v>554</v>
          </cell>
          <cell r="F268">
            <v>1908.001</v>
          </cell>
          <cell r="G268">
            <v>1947.8019999999999</v>
          </cell>
          <cell r="H268">
            <v>1992.6189999999999</v>
          </cell>
          <cell r="I268">
            <v>2040.0150000000001</v>
          </cell>
          <cell r="J268">
            <v>2088.194</v>
          </cell>
          <cell r="K268">
            <v>2136</v>
          </cell>
          <cell r="L268">
            <v>2182.9430000000002</v>
          </cell>
          <cell r="M268">
            <v>2229.1759999999999</v>
          </cell>
          <cell r="N268">
            <v>2275.3919999999998</v>
          </cell>
          <cell r="O268">
            <v>2322.6689999999999</v>
          </cell>
          <cell r="P268">
            <v>2371.9989999999998</v>
          </cell>
          <cell r="Q268">
            <v>2423.7689999999998</v>
          </cell>
          <cell r="R268">
            <v>2477.328</v>
          </cell>
          <cell r="S268">
            <v>2530.7910000000002</v>
          </cell>
          <cell r="T268">
            <v>2581.578</v>
          </cell>
          <cell r="U268">
            <v>2628.0030000000002</v>
          </cell>
          <cell r="V268">
            <v>2668.59</v>
          </cell>
          <cell r="W268">
            <v>2704.2049999999999</v>
          </cell>
          <cell r="X268">
            <v>2738.2829999999999</v>
          </cell>
          <cell r="Y268">
            <v>2775.6840000000002</v>
          </cell>
          <cell r="Z268">
            <v>2819.5479999999998</v>
          </cell>
          <cell r="AA268">
            <v>2871.81</v>
          </cell>
          <cell r="AB268">
            <v>2930.4690000000001</v>
          </cell>
          <cell r="AC268">
            <v>2989.9850000000001</v>
          </cell>
          <cell r="AD268">
            <v>3042.5729999999999</v>
          </cell>
          <cell r="AE268">
            <v>3082.8829999999998</v>
          </cell>
          <cell r="AF268">
            <v>3108.7449999999999</v>
          </cell>
          <cell r="AG268">
            <v>3122.5509999999999</v>
          </cell>
          <cell r="AH268">
            <v>3129.098</v>
          </cell>
          <cell r="AI268">
            <v>3135.453</v>
          </cell>
          <cell r="AJ268">
            <v>3146.7710000000002</v>
          </cell>
          <cell r="AK268">
            <v>3164.9650000000001</v>
          </cell>
          <cell r="AL268">
            <v>3188.6640000000002</v>
          </cell>
          <cell r="AM268">
            <v>3215.826</v>
          </cell>
          <cell r="AN268">
            <v>3243.078</v>
          </cell>
          <cell r="AO268">
            <v>3268.192</v>
          </cell>
          <cell r="AP268">
            <v>3290.1320000000001</v>
          </cell>
          <cell r="AQ268">
            <v>3310.4079999999999</v>
          </cell>
          <cell r="AR268">
            <v>3332.297</v>
          </cell>
          <cell r="AS268">
            <v>3360.35</v>
          </cell>
          <cell r="AT268">
            <v>3397.5340000000001</v>
          </cell>
          <cell r="AU268">
            <v>3445.596</v>
          </cell>
          <cell r="AV268">
            <v>3502.7649999999999</v>
          </cell>
          <cell r="AW268">
            <v>3564.2269999999999</v>
          </cell>
          <cell r="AX268">
            <v>3623.181</v>
          </cell>
          <cell r="AY268">
            <v>3674.886</v>
          </cell>
          <cell r="AZ268">
            <v>3717.239</v>
          </cell>
          <cell r="BA268">
            <v>3752.1019999999999</v>
          </cell>
          <cell r="BB268">
            <v>3783.5160000000001</v>
          </cell>
          <cell r="BC268">
            <v>3817.489</v>
          </cell>
          <cell r="BD268">
            <v>3858.2339999999999</v>
          </cell>
          <cell r="BE268">
            <v>3906.9110000000001</v>
          </cell>
          <cell r="BF268">
            <v>3961.6950000000002</v>
          </cell>
          <cell r="BG268">
            <v>4020.1950000000002</v>
          </cell>
          <cell r="BH268">
            <v>4078.779</v>
          </cell>
          <cell r="BI268">
            <v>4134.6989999999996</v>
          </cell>
          <cell r="BJ268">
            <v>4187.5839999999998</v>
          </cell>
          <cell r="BK268">
            <v>4238.0209999999997</v>
          </cell>
          <cell r="BL268">
            <v>4285.38</v>
          </cell>
          <cell r="BM268">
            <v>4329.1239999999998</v>
          </cell>
          <cell r="BN268">
            <v>4369.027</v>
          </cell>
          <cell r="BO268">
            <v>4404.4830000000002</v>
          </cell>
          <cell r="BP268">
            <v>4435.8829999999998</v>
          </cell>
          <cell r="BQ268">
            <v>4465.2759999999998</v>
          </cell>
          <cell r="BR268">
            <v>4495.482</v>
          </cell>
          <cell r="BS268">
            <v>4528.5259999999998</v>
          </cell>
        </row>
        <row r="269">
          <cell r="E269">
            <v>928</v>
          </cell>
          <cell r="F269">
            <v>2199.4969999999998</v>
          </cell>
          <cell r="G269">
            <v>2230.4679999999998</v>
          </cell>
          <cell r="H269">
            <v>2264.511</v>
          </cell>
          <cell r="I269">
            <v>2301.1709999999998</v>
          </cell>
          <cell r="J269">
            <v>2340.123</v>
          </cell>
          <cell r="K269">
            <v>2381.1729999999998</v>
          </cell>
          <cell r="L269">
            <v>2424.2640000000001</v>
          </cell>
          <cell r="M269">
            <v>2469.4690000000001</v>
          </cell>
          <cell r="N269">
            <v>2516.9769999999999</v>
          </cell>
          <cell r="O269">
            <v>2567.0529999999999</v>
          </cell>
          <cell r="P269">
            <v>2619.9679999999998</v>
          </cell>
          <cell r="Q269">
            <v>2675.8960000000002</v>
          </cell>
          <cell r="R269">
            <v>2734.8359999999998</v>
          </cell>
          <cell r="S269">
            <v>2796.5709999999999</v>
          </cell>
          <cell r="T269">
            <v>2860.78</v>
          </cell>
          <cell r="U269">
            <v>2927.3180000000002</v>
          </cell>
          <cell r="V269">
            <v>2995.87</v>
          </cell>
          <cell r="W269">
            <v>3066.7280000000001</v>
          </cell>
          <cell r="X269">
            <v>3141.0709999999999</v>
          </cell>
          <cell r="Y269">
            <v>3220.4850000000001</v>
          </cell>
          <cell r="Z269">
            <v>3305.989</v>
          </cell>
          <cell r="AA269">
            <v>3398.181</v>
          </cell>
          <cell r="AB269">
            <v>3496.42</v>
          </cell>
          <cell r="AC269">
            <v>3598.9639999999999</v>
          </cell>
          <cell r="AD269">
            <v>3703.3519999999999</v>
          </cell>
          <cell r="AE269">
            <v>3807.826</v>
          </cell>
          <cell r="AF269">
            <v>3911.4560000000001</v>
          </cell>
          <cell r="AG269">
            <v>4014.7530000000002</v>
          </cell>
          <cell r="AH269">
            <v>4119.1220000000003</v>
          </cell>
          <cell r="AI269">
            <v>4226.6949999999997</v>
          </cell>
          <cell r="AJ269">
            <v>4338.8530000000001</v>
          </cell>
          <cell r="AK269">
            <v>4456.4380000000001</v>
          </cell>
          <cell r="AL269">
            <v>4578.5209999999997</v>
          </cell>
          <cell r="AM269">
            <v>4702.6289999999999</v>
          </cell>
          <cell r="AN269">
            <v>4825.3130000000001</v>
          </cell>
          <cell r="AO269">
            <v>4944.2830000000004</v>
          </cell>
          <cell r="AP269">
            <v>5058.5140000000001</v>
          </cell>
          <cell r="AQ269">
            <v>5169.3040000000001</v>
          </cell>
          <cell r="AR269">
            <v>5279.5219999999999</v>
          </cell>
          <cell r="AS269">
            <v>5393.2709999999997</v>
          </cell>
          <cell r="AT269">
            <v>5513.5479999999998</v>
          </cell>
          <cell r="AU269">
            <v>5641.2190000000001</v>
          </cell>
          <cell r="AV269">
            <v>5775.4769999999999</v>
          </cell>
          <cell r="AW269">
            <v>5915.5709999999999</v>
          </cell>
          <cell r="AX269">
            <v>6060.1390000000001</v>
          </cell>
          <cell r="AY269">
            <v>6208.0969999999998</v>
          </cell>
          <cell r="AZ269">
            <v>6359.5010000000002</v>
          </cell>
          <cell r="BA269">
            <v>6514.5439999999999</v>
          </cell>
          <cell r="BB269">
            <v>6672.393</v>
          </cell>
          <cell r="BC269">
            <v>6832.0050000000001</v>
          </cell>
          <cell r="BD269">
            <v>6992.665</v>
          </cell>
          <cell r="BE269">
            <v>7153.777</v>
          </cell>
          <cell r="BF269">
            <v>7315.5259999999998</v>
          </cell>
          <cell r="BG269">
            <v>7478.92</v>
          </cell>
          <cell r="BH269">
            <v>7645.4480000000003</v>
          </cell>
          <cell r="BI269">
            <v>7816.0889999999999</v>
          </cell>
          <cell r="BJ269">
            <v>7991.1819999999998</v>
          </cell>
          <cell r="BK269">
            <v>8170.0839999999998</v>
          </cell>
          <cell r="BL269">
            <v>8351.61</v>
          </cell>
          <cell r="BM269">
            <v>8534.0930000000008</v>
          </cell>
          <cell r="BN269">
            <v>8716.2900000000009</v>
          </cell>
          <cell r="BO269">
            <v>8897.7780000000002</v>
          </cell>
          <cell r="BP269">
            <v>9078.8169999999991</v>
          </cell>
          <cell r="BQ269">
            <v>9259.6740000000009</v>
          </cell>
          <cell r="BR269">
            <v>9440.8809999999994</v>
          </cell>
          <cell r="BS269">
            <v>9622.8269999999993</v>
          </cell>
        </row>
        <row r="270">
          <cell r="E270">
            <v>242</v>
          </cell>
          <cell r="F270">
            <v>288.99299999999999</v>
          </cell>
          <cell r="G270">
            <v>296.20600000000002</v>
          </cell>
          <cell r="H270">
            <v>304.81299999999999</v>
          </cell>
          <cell r="I270">
            <v>314.35199999999998</v>
          </cell>
          <cell r="J270">
            <v>324.48</v>
          </cell>
          <cell r="K270">
            <v>334.976</v>
          </cell>
          <cell r="L270">
            <v>345.74599999999998</v>
          </cell>
          <cell r="M270">
            <v>356.81700000000001</v>
          </cell>
          <cell r="N270">
            <v>368.32</v>
          </cell>
          <cell r="O270">
            <v>380.452</v>
          </cell>
          <cell r="P270">
            <v>393.38299999999998</v>
          </cell>
          <cell r="Q270">
            <v>407.15199999999999</v>
          </cell>
          <cell r="R270">
            <v>421.57600000000002</v>
          </cell>
          <cell r="S270">
            <v>436.20800000000003</v>
          </cell>
          <cell r="T270">
            <v>450.452</v>
          </cell>
          <cell r="U270">
            <v>463.88400000000001</v>
          </cell>
          <cell r="V270">
            <v>476.32900000000001</v>
          </cell>
          <cell r="W270">
            <v>487.911</v>
          </cell>
          <cell r="X270">
            <v>498.887</v>
          </cell>
          <cell r="Y270">
            <v>509.65899999999999</v>
          </cell>
          <cell r="Z270">
            <v>520.529</v>
          </cell>
          <cell r="AA270">
            <v>531.601</v>
          </cell>
          <cell r="AB270">
            <v>542.81100000000004</v>
          </cell>
          <cell r="AC270">
            <v>554.10900000000004</v>
          </cell>
          <cell r="AD270">
            <v>565.38599999999997</v>
          </cell>
          <cell r="AE270">
            <v>576.59199999999998</v>
          </cell>
          <cell r="AF270">
            <v>587.52300000000002</v>
          </cell>
          <cell r="AG270">
            <v>598.25800000000004</v>
          </cell>
          <cell r="AH270">
            <v>609.34799999999996</v>
          </cell>
          <cell r="AI270">
            <v>621.54100000000005</v>
          </cell>
          <cell r="AJ270">
            <v>635.25599999999997</v>
          </cell>
          <cell r="AK270">
            <v>650.95699999999999</v>
          </cell>
          <cell r="AL270">
            <v>668.19600000000003</v>
          </cell>
          <cell r="AM270">
            <v>685.38900000000001</v>
          </cell>
          <cell r="AN270">
            <v>700.36599999999999</v>
          </cell>
          <cell r="AO270">
            <v>711.66300000000001</v>
          </cell>
          <cell r="AP270">
            <v>718.548</v>
          </cell>
          <cell r="AQ270">
            <v>721.72500000000002</v>
          </cell>
          <cell r="AR270">
            <v>722.91800000000001</v>
          </cell>
          <cell r="AS270">
            <v>724.62400000000002</v>
          </cell>
          <cell r="AT270">
            <v>728.62599999999998</v>
          </cell>
          <cell r="AU270">
            <v>735.46900000000005</v>
          </cell>
          <cell r="AV270">
            <v>744.53399999999999</v>
          </cell>
          <cell r="AW270">
            <v>755.024</v>
          </cell>
          <cell r="AX270">
            <v>765.66600000000005</v>
          </cell>
          <cell r="AY270">
            <v>775.49800000000005</v>
          </cell>
          <cell r="AZ270">
            <v>784.47900000000004</v>
          </cell>
          <cell r="BA270">
            <v>792.85900000000004</v>
          </cell>
          <cell r="BB270">
            <v>800.31399999999996</v>
          </cell>
          <cell r="BC270">
            <v>806.49400000000003</v>
          </cell>
          <cell r="BD270">
            <v>811.22299999999996</v>
          </cell>
          <cell r="BE270">
            <v>814.21500000000003</v>
          </cell>
          <cell r="BF270">
            <v>815.69100000000003</v>
          </cell>
          <cell r="BG270">
            <v>816.62599999999998</v>
          </cell>
          <cell r="BH270">
            <v>818.35500000000002</v>
          </cell>
          <cell r="BI270">
            <v>821.82</v>
          </cell>
          <cell r="BJ270">
            <v>827.39</v>
          </cell>
          <cell r="BK270">
            <v>834.72900000000004</v>
          </cell>
          <cell r="BL270">
            <v>843.20600000000002</v>
          </cell>
          <cell r="BM270">
            <v>851.85400000000004</v>
          </cell>
          <cell r="BN270">
            <v>859.952</v>
          </cell>
          <cell r="BO270">
            <v>867.327</v>
          </cell>
          <cell r="BP270">
            <v>874.15800000000002</v>
          </cell>
          <cell r="BQ270">
            <v>880.48699999999997</v>
          </cell>
          <cell r="BR270">
            <v>886.45</v>
          </cell>
          <cell r="BS270">
            <v>892.14499999999998</v>
          </cell>
        </row>
        <row r="271">
          <cell r="E271">
            <v>540</v>
          </cell>
          <cell r="F271">
            <v>64.823999999999998</v>
          </cell>
          <cell r="G271">
            <v>64.281000000000006</v>
          </cell>
          <cell r="H271">
            <v>64.441000000000003</v>
          </cell>
          <cell r="I271">
            <v>65.153000000000006</v>
          </cell>
          <cell r="J271">
            <v>66.289000000000001</v>
          </cell>
          <cell r="K271">
            <v>67.75</v>
          </cell>
          <cell r="L271">
            <v>69.457999999999998</v>
          </cell>
          <cell r="M271">
            <v>71.364000000000004</v>
          </cell>
          <cell r="N271">
            <v>73.438999999999993</v>
          </cell>
          <cell r="O271">
            <v>75.671999999999997</v>
          </cell>
          <cell r="P271">
            <v>78.058000000000007</v>
          </cell>
          <cell r="Q271">
            <v>80.584999999999994</v>
          </cell>
          <cell r="R271">
            <v>83.221000000000004</v>
          </cell>
          <cell r="S271">
            <v>85.908000000000001</v>
          </cell>
          <cell r="T271">
            <v>88.578000000000003</v>
          </cell>
          <cell r="U271">
            <v>91.197000000000003</v>
          </cell>
          <cell r="V271">
            <v>93.682000000000002</v>
          </cell>
          <cell r="W271">
            <v>96.067999999999998</v>
          </cell>
          <cell r="X271">
            <v>98.572000000000003</v>
          </cell>
          <cell r="Y271">
            <v>101.494</v>
          </cell>
          <cell r="Z271">
            <v>105.02500000000001</v>
          </cell>
          <cell r="AA271">
            <v>109.26900000000001</v>
          </cell>
          <cell r="AB271">
            <v>114.093</v>
          </cell>
          <cell r="AC271">
            <v>119.154</v>
          </cell>
          <cell r="AD271">
            <v>123.976</v>
          </cell>
          <cell r="AE271">
            <v>128.21600000000001</v>
          </cell>
          <cell r="AF271">
            <v>131.75800000000001</v>
          </cell>
          <cell r="AG271">
            <v>134.71</v>
          </cell>
          <cell r="AH271">
            <v>137.22300000000001</v>
          </cell>
          <cell r="AI271">
            <v>139.54499999999999</v>
          </cell>
          <cell r="AJ271">
            <v>141.86600000000001</v>
          </cell>
          <cell r="AK271">
            <v>144.227</v>
          </cell>
          <cell r="AL271">
            <v>146.59200000000001</v>
          </cell>
          <cell r="AM271">
            <v>148.988</v>
          </cell>
          <cell r="AN271">
            <v>151.42699999999999</v>
          </cell>
          <cell r="AO271">
            <v>153.929</v>
          </cell>
          <cell r="AP271">
            <v>156.50200000000001</v>
          </cell>
          <cell r="AQ271">
            <v>159.18</v>
          </cell>
          <cell r="AR271">
            <v>162.03</v>
          </cell>
          <cell r="AS271">
            <v>165.131</v>
          </cell>
          <cell r="AT271">
            <v>168.53700000000001</v>
          </cell>
          <cell r="AU271">
            <v>172.274</v>
          </cell>
          <cell r="AV271">
            <v>176.31</v>
          </cell>
          <cell r="AW271">
            <v>180.554</v>
          </cell>
          <cell r="AX271">
            <v>184.88300000000001</v>
          </cell>
          <cell r="AY271">
            <v>189.19800000000001</v>
          </cell>
          <cell r="AZ271">
            <v>193.471</v>
          </cell>
          <cell r="BA271">
            <v>197.70599999999999</v>
          </cell>
          <cell r="BB271">
            <v>201.88300000000001</v>
          </cell>
          <cell r="BC271">
            <v>205.983</v>
          </cell>
          <cell r="BD271">
            <v>209.99700000000001</v>
          </cell>
          <cell r="BE271">
            <v>213.904</v>
          </cell>
          <cell r="BF271">
            <v>217.70099999999999</v>
          </cell>
          <cell r="BG271">
            <v>221.40799999999999</v>
          </cell>
          <cell r="BH271">
            <v>225.06</v>
          </cell>
          <cell r="BI271">
            <v>228.68299999999999</v>
          </cell>
          <cell r="BJ271">
            <v>232.28299999999999</v>
          </cell>
          <cell r="BK271">
            <v>235.85400000000001</v>
          </cell>
          <cell r="BL271">
            <v>239.392</v>
          </cell>
          <cell r="BM271">
            <v>242.89099999999999</v>
          </cell>
          <cell r="BN271">
            <v>246.345</v>
          </cell>
          <cell r="BO271">
            <v>249.755</v>
          </cell>
          <cell r="BP271">
            <v>253.12899999999999</v>
          </cell>
          <cell r="BQ271">
            <v>256.47300000000001</v>
          </cell>
          <cell r="BR271">
            <v>259.8</v>
          </cell>
          <cell r="BS271">
            <v>263.11799999999999</v>
          </cell>
        </row>
        <row r="272">
          <cell r="E272">
            <v>598</v>
          </cell>
          <cell r="F272">
            <v>1708.192</v>
          </cell>
          <cell r="G272">
            <v>1729.2539999999999</v>
          </cell>
          <cell r="H272">
            <v>1750.883</v>
          </cell>
          <cell r="I272">
            <v>1773.3309999999999</v>
          </cell>
          <cell r="J272">
            <v>1796.808</v>
          </cell>
          <cell r="K272">
            <v>1821.4960000000001</v>
          </cell>
          <cell r="L272">
            <v>1847.5340000000001</v>
          </cell>
          <cell r="M272">
            <v>1875.027</v>
          </cell>
          <cell r="N272">
            <v>1904.0530000000001</v>
          </cell>
          <cell r="O272">
            <v>1934.67</v>
          </cell>
          <cell r="P272">
            <v>1966.9570000000001</v>
          </cell>
          <cell r="Q272">
            <v>2001.048</v>
          </cell>
          <cell r="R272">
            <v>2037.165</v>
          </cell>
          <cell r="S272">
            <v>2075.63</v>
          </cell>
          <cell r="T272">
            <v>2116.8319999999999</v>
          </cell>
          <cell r="U272">
            <v>2161.1030000000001</v>
          </cell>
          <cell r="V272">
            <v>2208.422</v>
          </cell>
          <cell r="W272">
            <v>2258.877</v>
          </cell>
          <cell r="X272">
            <v>2313.0169999999998</v>
          </cell>
          <cell r="Y272">
            <v>2371.5149999999999</v>
          </cell>
          <cell r="Z272">
            <v>2434.7550000000001</v>
          </cell>
          <cell r="AA272">
            <v>2503.0740000000001</v>
          </cell>
          <cell r="AB272">
            <v>2576.0929999999998</v>
          </cell>
          <cell r="AC272">
            <v>2652.5859999999998</v>
          </cell>
          <cell r="AD272">
            <v>2730.8589999999999</v>
          </cell>
          <cell r="AE272">
            <v>2809.692</v>
          </cell>
          <cell r="AF272">
            <v>2888.509</v>
          </cell>
          <cell r="AG272">
            <v>2967.62</v>
          </cell>
          <cell r="AH272">
            <v>3047.7689999999998</v>
          </cell>
          <cell r="AI272">
            <v>3130.125</v>
          </cell>
          <cell r="AJ272">
            <v>3215.4830000000002</v>
          </cell>
          <cell r="AK272">
            <v>3304.1880000000001</v>
          </cell>
          <cell r="AL272">
            <v>3395.7979999999998</v>
          </cell>
          <cell r="AM272">
            <v>3489.402</v>
          </cell>
          <cell r="AN272">
            <v>3583.7069999999999</v>
          </cell>
          <cell r="AO272">
            <v>3677.8539999999998</v>
          </cell>
          <cell r="AP272">
            <v>3771.578</v>
          </cell>
          <cell r="AQ272">
            <v>3865.402</v>
          </cell>
          <cell r="AR272">
            <v>3960.2429999999999</v>
          </cell>
          <cell r="AS272">
            <v>4057.4059999999999</v>
          </cell>
          <cell r="AT272">
            <v>4157.9030000000002</v>
          </cell>
          <cell r="AU272">
            <v>4261.933</v>
          </cell>
          <cell r="AV272">
            <v>4369.4070000000002</v>
          </cell>
          <cell r="AW272">
            <v>4480.6890000000003</v>
          </cell>
          <cell r="AX272">
            <v>4596.1310000000003</v>
          </cell>
          <cell r="AY272">
            <v>4715.9290000000001</v>
          </cell>
          <cell r="AZ272">
            <v>4840.3109999999997</v>
          </cell>
          <cell r="BA272">
            <v>4969.116</v>
          </cell>
          <cell r="BB272">
            <v>5101.6329999999998</v>
          </cell>
          <cell r="BC272">
            <v>5236.8630000000003</v>
          </cell>
          <cell r="BD272">
            <v>5374.0510000000004</v>
          </cell>
          <cell r="BE272">
            <v>5512.835</v>
          </cell>
          <cell r="BF272">
            <v>5653.2839999999997</v>
          </cell>
          <cell r="BG272">
            <v>5795.5709999999999</v>
          </cell>
          <cell r="BH272">
            <v>5940.0479999999998</v>
          </cell>
          <cell r="BI272">
            <v>6086.9049999999997</v>
          </cell>
          <cell r="BJ272">
            <v>6236.1580000000004</v>
          </cell>
          <cell r="BK272">
            <v>6387.47</v>
          </cell>
          <cell r="BL272">
            <v>6540.2669999999998</v>
          </cell>
          <cell r="BM272">
            <v>6693.799</v>
          </cell>
          <cell r="BN272">
            <v>6847.5169999999998</v>
          </cell>
          <cell r="BO272">
            <v>7001.1719999999996</v>
          </cell>
          <cell r="BP272">
            <v>7154.87</v>
          </cell>
          <cell r="BQ272">
            <v>7308.8639999999996</v>
          </cell>
          <cell r="BR272">
            <v>7463.5770000000002</v>
          </cell>
          <cell r="BS272">
            <v>7619.3209999999999</v>
          </cell>
        </row>
        <row r="273">
          <cell r="E273">
            <v>90</v>
          </cell>
          <cell r="F273">
            <v>89.793000000000006</v>
          </cell>
          <cell r="G273">
            <v>91.808000000000007</v>
          </cell>
          <cell r="H273">
            <v>94.078999999999994</v>
          </cell>
          <cell r="I273">
            <v>96.561000000000007</v>
          </cell>
          <cell r="J273">
            <v>99.221000000000004</v>
          </cell>
          <cell r="K273">
            <v>102.027</v>
          </cell>
          <cell r="L273">
            <v>104.962</v>
          </cell>
          <cell r="M273">
            <v>108.015</v>
          </cell>
          <cell r="N273">
            <v>111.181</v>
          </cell>
          <cell r="O273">
            <v>114.46299999999999</v>
          </cell>
          <cell r="P273">
            <v>117.869</v>
          </cell>
          <cell r="Q273">
            <v>121.40300000000001</v>
          </cell>
          <cell r="R273">
            <v>125.068</v>
          </cell>
          <cell r="S273">
            <v>128.863</v>
          </cell>
          <cell r="T273">
            <v>132.78700000000001</v>
          </cell>
          <cell r="U273">
            <v>136.84700000000001</v>
          </cell>
          <cell r="V273">
            <v>141.02699999999999</v>
          </cell>
          <cell r="W273">
            <v>145.35400000000001</v>
          </cell>
          <cell r="X273">
            <v>149.92599999999999</v>
          </cell>
          <cell r="Y273">
            <v>154.876</v>
          </cell>
          <cell r="Z273">
            <v>160.292</v>
          </cell>
          <cell r="AA273">
            <v>166.214</v>
          </cell>
          <cell r="AB273">
            <v>172.59899999999999</v>
          </cell>
          <cell r="AC273">
            <v>179.35400000000001</v>
          </cell>
          <cell r="AD273">
            <v>186.33799999999999</v>
          </cell>
          <cell r="AE273">
            <v>193.447</v>
          </cell>
          <cell r="AF273">
            <v>200.642</v>
          </cell>
          <cell r="AG273">
            <v>207.94200000000001</v>
          </cell>
          <cell r="AH273">
            <v>215.35300000000001</v>
          </cell>
          <cell r="AI273">
            <v>222.905</v>
          </cell>
          <cell r="AJ273">
            <v>230.614</v>
          </cell>
          <cell r="AK273">
            <v>238.488</v>
          </cell>
          <cell r="AL273">
            <v>246.50200000000001</v>
          </cell>
          <cell r="AM273">
            <v>254.602</v>
          </cell>
          <cell r="AN273">
            <v>262.71899999999999</v>
          </cell>
          <cell r="AO273">
            <v>270.80900000000003</v>
          </cell>
          <cell r="AP273">
            <v>278.846</v>
          </cell>
          <cell r="AQ273">
            <v>286.86799999999999</v>
          </cell>
          <cell r="AR273">
            <v>294.96199999999999</v>
          </cell>
          <cell r="AS273">
            <v>303.25799999999998</v>
          </cell>
          <cell r="AT273">
            <v>311.84899999999999</v>
          </cell>
          <cell r="AU273">
            <v>320.76400000000001</v>
          </cell>
          <cell r="AV273">
            <v>329.98399999999998</v>
          </cell>
          <cell r="AW273">
            <v>339.49</v>
          </cell>
          <cell r="AX273">
            <v>349.25</v>
          </cell>
          <cell r="AY273">
            <v>359.23599999999999</v>
          </cell>
          <cell r="AZ273">
            <v>369.43799999999999</v>
          </cell>
          <cell r="BA273">
            <v>379.85899999999998</v>
          </cell>
          <cell r="BB273">
            <v>390.48899999999998</v>
          </cell>
          <cell r="BC273">
            <v>401.31900000000002</v>
          </cell>
          <cell r="BD273">
            <v>412.33600000000001</v>
          </cell>
          <cell r="BE273">
            <v>423.53500000000003</v>
          </cell>
          <cell r="BF273">
            <v>434.89299999999997</v>
          </cell>
          <cell r="BG273">
            <v>446.35199999999998</v>
          </cell>
          <cell r="BH273">
            <v>457.84100000000001</v>
          </cell>
          <cell r="BI273">
            <v>469.30599999999998</v>
          </cell>
          <cell r="BJ273">
            <v>480.71600000000001</v>
          </cell>
          <cell r="BK273">
            <v>492.07499999999999</v>
          </cell>
          <cell r="BL273">
            <v>503.41</v>
          </cell>
          <cell r="BM273">
            <v>514.76700000000005</v>
          </cell>
          <cell r="BN273">
            <v>526.17700000000002</v>
          </cell>
          <cell r="BO273">
            <v>537.64800000000002</v>
          </cell>
          <cell r="BP273">
            <v>549.16200000000003</v>
          </cell>
          <cell r="BQ273">
            <v>560.68499999999995</v>
          </cell>
          <cell r="BR273">
            <v>572.17100000000005</v>
          </cell>
          <cell r="BS273">
            <v>583.59100000000001</v>
          </cell>
        </row>
        <row r="274">
          <cell r="E274">
            <v>548</v>
          </cell>
          <cell r="F274">
            <v>47.695</v>
          </cell>
          <cell r="G274">
            <v>48.918999999999997</v>
          </cell>
          <cell r="H274">
            <v>50.295000000000002</v>
          </cell>
          <cell r="I274">
            <v>51.774000000000001</v>
          </cell>
          <cell r="J274">
            <v>53.325000000000003</v>
          </cell>
          <cell r="K274">
            <v>54.923999999999999</v>
          </cell>
          <cell r="L274">
            <v>56.564</v>
          </cell>
          <cell r="M274">
            <v>58.246000000000002</v>
          </cell>
          <cell r="N274">
            <v>59.984000000000002</v>
          </cell>
          <cell r="O274">
            <v>61.795999999999999</v>
          </cell>
          <cell r="P274">
            <v>63.701000000000001</v>
          </cell>
          <cell r="Q274">
            <v>65.707999999999998</v>
          </cell>
          <cell r="R274">
            <v>67.805999999999997</v>
          </cell>
          <cell r="S274">
            <v>69.962000000000003</v>
          </cell>
          <cell r="T274">
            <v>72.131</v>
          </cell>
          <cell r="U274">
            <v>74.287000000000006</v>
          </cell>
          <cell r="V274">
            <v>76.41</v>
          </cell>
          <cell r="W274">
            <v>78.518000000000001</v>
          </cell>
          <cell r="X274">
            <v>80.668999999999997</v>
          </cell>
          <cell r="Y274">
            <v>82.941000000000003</v>
          </cell>
          <cell r="Z274">
            <v>85.388000000000005</v>
          </cell>
          <cell r="AA274">
            <v>88.022999999999996</v>
          </cell>
          <cell r="AB274">
            <v>90.823999999999998</v>
          </cell>
          <cell r="AC274">
            <v>93.760999999999996</v>
          </cell>
          <cell r="AD274">
            <v>96.793000000000006</v>
          </cell>
          <cell r="AE274">
            <v>99.879000000000005</v>
          </cell>
          <cell r="AF274">
            <v>103.024</v>
          </cell>
          <cell r="AG274">
            <v>106.223</v>
          </cell>
          <cell r="AH274">
            <v>109.429</v>
          </cell>
          <cell r="AI274">
            <v>112.57899999999999</v>
          </cell>
          <cell r="AJ274">
            <v>115.634</v>
          </cell>
          <cell r="AK274">
            <v>118.578</v>
          </cell>
          <cell r="AL274">
            <v>121.43300000000001</v>
          </cell>
          <cell r="AM274">
            <v>124.248</v>
          </cell>
          <cell r="AN274">
            <v>127.09399999999999</v>
          </cell>
          <cell r="AO274">
            <v>130.02799999999999</v>
          </cell>
          <cell r="AP274">
            <v>133.04</v>
          </cell>
          <cell r="AQ274">
            <v>136.12899999999999</v>
          </cell>
          <cell r="AR274">
            <v>139.369</v>
          </cell>
          <cell r="AS274">
            <v>142.852</v>
          </cell>
          <cell r="AT274">
            <v>146.63300000000001</v>
          </cell>
          <cell r="AU274">
            <v>150.779</v>
          </cell>
          <cell r="AV274">
            <v>155.24199999999999</v>
          </cell>
          <cell r="AW274">
            <v>159.81399999999999</v>
          </cell>
          <cell r="AX274">
            <v>164.209</v>
          </cell>
          <cell r="AY274">
            <v>168.23599999999999</v>
          </cell>
          <cell r="AZ274">
            <v>171.80199999999999</v>
          </cell>
          <cell r="BA274">
            <v>175.00399999999999</v>
          </cell>
          <cell r="BB274">
            <v>178.07400000000001</v>
          </cell>
          <cell r="BC274">
            <v>181.346</v>
          </cell>
          <cell r="BD274">
            <v>185.05799999999999</v>
          </cell>
          <cell r="BE274">
            <v>189.28800000000001</v>
          </cell>
          <cell r="BF274">
            <v>193.95699999999999</v>
          </cell>
          <cell r="BG274">
            <v>198.96299999999999</v>
          </cell>
          <cell r="BH274">
            <v>204.14400000000001</v>
          </cell>
          <cell r="BI274">
            <v>209.375</v>
          </cell>
          <cell r="BJ274">
            <v>214.63499999999999</v>
          </cell>
          <cell r="BK274">
            <v>219.95599999999999</v>
          </cell>
          <cell r="BL274">
            <v>225.33500000000001</v>
          </cell>
          <cell r="BM274">
            <v>230.78200000000001</v>
          </cell>
          <cell r="BN274">
            <v>236.29900000000001</v>
          </cell>
          <cell r="BO274">
            <v>241.876</v>
          </cell>
          <cell r="BP274">
            <v>247.49799999999999</v>
          </cell>
          <cell r="BQ274">
            <v>253.16499999999999</v>
          </cell>
          <cell r="BR274">
            <v>258.88299999999998</v>
          </cell>
          <cell r="BS274">
            <v>264.65199999999999</v>
          </cell>
        </row>
        <row r="275">
          <cell r="E275">
            <v>954</v>
          </cell>
          <cell r="F275">
            <v>155.09299999999999</v>
          </cell>
          <cell r="G275">
            <v>158.154</v>
          </cell>
          <cell r="H275">
            <v>161.22</v>
          </cell>
          <cell r="I275">
            <v>164.34399999999999</v>
          </cell>
          <cell r="J275">
            <v>167.56700000000001</v>
          </cell>
          <cell r="K275">
            <v>170.94300000000001</v>
          </cell>
          <cell r="L275">
            <v>174.50800000000001</v>
          </cell>
          <cell r="M275">
            <v>178.29900000000001</v>
          </cell>
          <cell r="N275">
            <v>182.34800000000001</v>
          </cell>
          <cell r="O275">
            <v>186.684</v>
          </cell>
          <cell r="P275">
            <v>191.32</v>
          </cell>
          <cell r="Q275">
            <v>196.25800000000001</v>
          </cell>
          <cell r="R275">
            <v>201.489</v>
          </cell>
          <cell r="S275">
            <v>206.96799999999999</v>
          </cell>
          <cell r="T275">
            <v>212.65100000000001</v>
          </cell>
          <cell r="U275">
            <v>218.48</v>
          </cell>
          <cell r="V275">
            <v>224.483</v>
          </cell>
          <cell r="W275">
            <v>230.626</v>
          </cell>
          <cell r="X275">
            <v>236.74199999999999</v>
          </cell>
          <cell r="Y275">
            <v>242.60300000000001</v>
          </cell>
          <cell r="Z275">
            <v>248.06800000000001</v>
          </cell>
          <cell r="AA275">
            <v>253.09800000000001</v>
          </cell>
          <cell r="AB275">
            <v>257.78399999999999</v>
          </cell>
          <cell r="AC275">
            <v>262.30900000000003</v>
          </cell>
          <cell r="AD275">
            <v>266.92099999999999</v>
          </cell>
          <cell r="AE275">
            <v>271.83100000000002</v>
          </cell>
          <cell r="AF275">
            <v>277.05700000000002</v>
          </cell>
          <cell r="AG275">
            <v>282.62400000000002</v>
          </cell>
          <cell r="AH275">
            <v>288.76400000000001</v>
          </cell>
          <cell r="AI275">
            <v>295.74700000000001</v>
          </cell>
          <cell r="AJ275">
            <v>303.75200000000001</v>
          </cell>
          <cell r="AK275">
            <v>312.86599999999999</v>
          </cell>
          <cell r="AL275">
            <v>322.99900000000002</v>
          </cell>
          <cell r="AM275">
            <v>333.916</v>
          </cell>
          <cell r="AN275">
            <v>345.279</v>
          </cell>
          <cell r="AO275">
            <v>356.81799999999998</v>
          </cell>
          <cell r="AP275">
            <v>368.41300000000001</v>
          </cell>
          <cell r="AQ275">
            <v>380.04899999999998</v>
          </cell>
          <cell r="AR275">
            <v>391.67099999999999</v>
          </cell>
          <cell r="AS275">
            <v>403.25299999999999</v>
          </cell>
          <cell r="AT275">
            <v>414.74200000000002</v>
          </cell>
          <cell r="AU275">
            <v>426.07600000000002</v>
          </cell>
          <cell r="AV275">
            <v>437.13</v>
          </cell>
          <cell r="AW275">
            <v>447.71499999999997</v>
          </cell>
          <cell r="AX275">
            <v>457.59899999999999</v>
          </cell>
          <cell r="AY275">
            <v>466.608</v>
          </cell>
          <cell r="AZ275">
            <v>474.68200000000002</v>
          </cell>
          <cell r="BA275">
            <v>481.81700000000001</v>
          </cell>
          <cell r="BB275">
            <v>487.94099999999997</v>
          </cell>
          <cell r="BC275">
            <v>492.99700000000001</v>
          </cell>
          <cell r="BD275">
            <v>496.97500000000002</v>
          </cell>
          <cell r="BE275">
            <v>499.90300000000002</v>
          </cell>
          <cell r="BF275">
            <v>501.875</v>
          </cell>
          <cell r="BG275">
            <v>503.00400000000002</v>
          </cell>
          <cell r="BH275">
            <v>503.44900000000001</v>
          </cell>
          <cell r="BI275">
            <v>503.38</v>
          </cell>
          <cell r="BJ275">
            <v>502.79399999999998</v>
          </cell>
          <cell r="BK275">
            <v>501.84199999999998</v>
          </cell>
          <cell r="BL275">
            <v>501.05700000000002</v>
          </cell>
          <cell r="BM275">
            <v>501.11700000000002</v>
          </cell>
          <cell r="BN275">
            <v>502.49</v>
          </cell>
          <cell r="BO275">
            <v>505.42</v>
          </cell>
          <cell r="BP275">
            <v>509.755</v>
          </cell>
          <cell r="BQ275">
            <v>515.08199999999999</v>
          </cell>
          <cell r="BR275">
            <v>520.76900000000001</v>
          </cell>
          <cell r="BS275">
            <v>526.34400000000005</v>
          </cell>
        </row>
        <row r="276">
          <cell r="E276">
            <v>316</v>
          </cell>
          <cell r="F276">
            <v>59.65</v>
          </cell>
          <cell r="G276">
            <v>60.261000000000003</v>
          </cell>
          <cell r="H276">
            <v>60.872</v>
          </cell>
          <cell r="I276">
            <v>61.470999999999997</v>
          </cell>
          <cell r="J276">
            <v>62.058</v>
          </cell>
          <cell r="K276">
            <v>62.645000000000003</v>
          </cell>
          <cell r="L276">
            <v>63.256</v>
          </cell>
          <cell r="M276">
            <v>63.924999999999997</v>
          </cell>
          <cell r="N276">
            <v>64.697999999999993</v>
          </cell>
          <cell r="O276">
            <v>65.623000000000005</v>
          </cell>
          <cell r="P276">
            <v>66.741</v>
          </cell>
          <cell r="Q276">
            <v>68.072999999999993</v>
          </cell>
          <cell r="R276">
            <v>69.606999999999999</v>
          </cell>
          <cell r="S276">
            <v>71.289000000000001</v>
          </cell>
          <cell r="T276">
            <v>73.048000000000002</v>
          </cell>
          <cell r="U276">
            <v>74.826999999999998</v>
          </cell>
          <cell r="V276">
            <v>76.611000000000004</v>
          </cell>
          <cell r="W276">
            <v>78.409000000000006</v>
          </cell>
          <cell r="X276">
            <v>80.218999999999994</v>
          </cell>
          <cell r="Y276">
            <v>82.042000000000002</v>
          </cell>
          <cell r="Z276">
            <v>83.88</v>
          </cell>
          <cell r="AA276">
            <v>85.727999999999994</v>
          </cell>
          <cell r="AB276">
            <v>87.584999999999994</v>
          </cell>
          <cell r="AC276">
            <v>89.462999999999994</v>
          </cell>
          <cell r="AD276">
            <v>91.381</v>
          </cell>
          <cell r="AE276">
            <v>93.353999999999999</v>
          </cell>
          <cell r="AF276">
            <v>95.385999999999996</v>
          </cell>
          <cell r="AG276">
            <v>97.475999999999999</v>
          </cell>
          <cell r="AH276">
            <v>99.628</v>
          </cell>
          <cell r="AI276">
            <v>101.846</v>
          </cell>
          <cell r="AJ276">
            <v>104.131</v>
          </cell>
          <cell r="AK276">
            <v>106.486</v>
          </cell>
          <cell r="AL276">
            <v>108.911</v>
          </cell>
          <cell r="AM276">
            <v>111.405</v>
          </cell>
          <cell r="AN276">
            <v>113.961</v>
          </cell>
          <cell r="AO276">
            <v>116.57599999999999</v>
          </cell>
          <cell r="AP276">
            <v>119.232</v>
          </cell>
          <cell r="AQ276">
            <v>121.92400000000001</v>
          </cell>
          <cell r="AR276">
            <v>124.67700000000001</v>
          </cell>
          <cell r="AS276">
            <v>127.52500000000001</v>
          </cell>
          <cell r="AT276">
            <v>130.482</v>
          </cell>
          <cell r="AU276">
            <v>133.553</v>
          </cell>
          <cell r="AV276">
            <v>136.696</v>
          </cell>
          <cell r="AW276">
            <v>139.82</v>
          </cell>
          <cell r="AX276">
            <v>142.80600000000001</v>
          </cell>
          <cell r="AY276">
            <v>145.56200000000001</v>
          </cell>
          <cell r="AZ276">
            <v>148.06</v>
          </cell>
          <cell r="BA276">
            <v>150.30600000000001</v>
          </cell>
          <cell r="BB276">
            <v>152.27500000000001</v>
          </cell>
          <cell r="BC276">
            <v>153.95099999999999</v>
          </cell>
          <cell r="BD276">
            <v>155.328</v>
          </cell>
          <cell r="BE276">
            <v>156.417</v>
          </cell>
          <cell r="BF276">
            <v>157.24100000000001</v>
          </cell>
          <cell r="BG276">
            <v>157.82300000000001</v>
          </cell>
          <cell r="BH276">
            <v>158.19399999999999</v>
          </cell>
          <cell r="BI276">
            <v>158.40100000000001</v>
          </cell>
          <cell r="BJ276">
            <v>158.429</v>
          </cell>
          <cell r="BK276">
            <v>158.33199999999999</v>
          </cell>
          <cell r="BL276">
            <v>158.31</v>
          </cell>
          <cell r="BM276">
            <v>158.62100000000001</v>
          </cell>
          <cell r="BN276">
            <v>159.44</v>
          </cell>
          <cell r="BO276">
            <v>160.858</v>
          </cell>
          <cell r="BP276">
            <v>162.80699999999999</v>
          </cell>
          <cell r="BQ276">
            <v>165.12100000000001</v>
          </cell>
          <cell r="BR276">
            <v>167.54300000000001</v>
          </cell>
          <cell r="BS276">
            <v>169.88499999999999</v>
          </cell>
        </row>
        <row r="277">
          <cell r="E277">
            <v>296</v>
          </cell>
          <cell r="F277">
            <v>33.049999999999997</v>
          </cell>
          <cell r="G277">
            <v>33.627000000000002</v>
          </cell>
          <cell r="H277">
            <v>34.283000000000001</v>
          </cell>
          <cell r="I277">
            <v>35.003999999999998</v>
          </cell>
          <cell r="J277">
            <v>35.777999999999999</v>
          </cell>
          <cell r="K277">
            <v>36.597000000000001</v>
          </cell>
          <cell r="L277">
            <v>37.454000000000001</v>
          </cell>
          <cell r="M277">
            <v>38.347999999999999</v>
          </cell>
          <cell r="N277">
            <v>39.276000000000003</v>
          </cell>
          <cell r="O277">
            <v>40.237000000000002</v>
          </cell>
          <cell r="P277">
            <v>41.234000000000002</v>
          </cell>
          <cell r="Q277">
            <v>42.261000000000003</v>
          </cell>
          <cell r="R277">
            <v>43.311999999999998</v>
          </cell>
          <cell r="S277">
            <v>44.372</v>
          </cell>
          <cell r="T277">
            <v>45.423999999999999</v>
          </cell>
          <cell r="U277">
            <v>46.454999999999998</v>
          </cell>
          <cell r="V277">
            <v>47.460999999999999</v>
          </cell>
          <cell r="W277">
            <v>48.44</v>
          </cell>
          <cell r="X277">
            <v>49.389000000000003</v>
          </cell>
          <cell r="Y277">
            <v>50.302999999999997</v>
          </cell>
          <cell r="Z277">
            <v>51.180999999999997</v>
          </cell>
          <cell r="AA277">
            <v>52.02</v>
          </cell>
          <cell r="AB277">
            <v>52.823</v>
          </cell>
          <cell r="AC277">
            <v>53.604999999999997</v>
          </cell>
          <cell r="AD277">
            <v>54.381999999999998</v>
          </cell>
          <cell r="AE277">
            <v>55.168999999999997</v>
          </cell>
          <cell r="AF277">
            <v>55.98</v>
          </cell>
          <cell r="AG277">
            <v>56.814999999999998</v>
          </cell>
          <cell r="AH277">
            <v>57.664000000000001</v>
          </cell>
          <cell r="AI277">
            <v>58.509</v>
          </cell>
          <cell r="AJ277">
            <v>59.34</v>
          </cell>
          <cell r="AK277">
            <v>60.137</v>
          </cell>
          <cell r="AL277">
            <v>60.917999999999999</v>
          </cell>
          <cell r="AM277">
            <v>61.76</v>
          </cell>
          <cell r="AN277">
            <v>62.768000000000001</v>
          </cell>
          <cell r="AO277">
            <v>64.006</v>
          </cell>
          <cell r="AP277">
            <v>65.519000000000005</v>
          </cell>
          <cell r="AQ277">
            <v>67.262</v>
          </cell>
          <cell r="AR277">
            <v>69.103999999999999</v>
          </cell>
          <cell r="AS277">
            <v>70.863</v>
          </cell>
          <cell r="AT277">
            <v>72.411000000000001</v>
          </cell>
          <cell r="AU277">
            <v>73.697999999999993</v>
          </cell>
          <cell r="AV277">
            <v>74.772999999999996</v>
          </cell>
          <cell r="AW277">
            <v>75.721999999999994</v>
          </cell>
          <cell r="AX277">
            <v>76.674000000000007</v>
          </cell>
          <cell r="AY277">
            <v>77.727000000000004</v>
          </cell>
          <cell r="AZ277">
            <v>78.906999999999996</v>
          </cell>
          <cell r="BA277">
            <v>80.19</v>
          </cell>
          <cell r="BB277">
            <v>81.555999999999997</v>
          </cell>
          <cell r="BC277">
            <v>82.968999999999994</v>
          </cell>
          <cell r="BD277">
            <v>84.406000000000006</v>
          </cell>
          <cell r="BE277">
            <v>85.858000000000004</v>
          </cell>
          <cell r="BF277">
            <v>87.343000000000004</v>
          </cell>
          <cell r="BG277">
            <v>88.891999999999996</v>
          </cell>
          <cell r="BH277">
            <v>90.545000000000002</v>
          </cell>
          <cell r="BI277">
            <v>92.328999999999994</v>
          </cell>
          <cell r="BJ277">
            <v>94.257000000000005</v>
          </cell>
          <cell r="BK277">
            <v>96.31</v>
          </cell>
          <cell r="BL277">
            <v>98.436999999999998</v>
          </cell>
          <cell r="BM277">
            <v>100.566</v>
          </cell>
          <cell r="BN277">
            <v>102.648</v>
          </cell>
          <cell r="BO277">
            <v>104.66200000000001</v>
          </cell>
          <cell r="BP277">
            <v>106.62</v>
          </cell>
          <cell r="BQ277">
            <v>108.544</v>
          </cell>
          <cell r="BR277">
            <v>110.47</v>
          </cell>
          <cell r="BS277">
            <v>112.423</v>
          </cell>
        </row>
        <row r="278">
          <cell r="E278">
            <v>584</v>
          </cell>
          <cell r="F278">
            <v>13</v>
          </cell>
          <cell r="G278">
            <v>13.221</v>
          </cell>
          <cell r="H278">
            <v>13.436</v>
          </cell>
          <cell r="I278">
            <v>13.625999999999999</v>
          </cell>
          <cell r="J278">
            <v>13.78</v>
          </cell>
          <cell r="K278">
            <v>13.898999999999999</v>
          </cell>
          <cell r="L278">
            <v>13.994</v>
          </cell>
          <cell r="M278">
            <v>14.087</v>
          </cell>
          <cell r="N278">
            <v>14.206</v>
          </cell>
          <cell r="O278">
            <v>14.388999999999999</v>
          </cell>
          <cell r="P278">
            <v>14.664999999999999</v>
          </cell>
          <cell r="Q278">
            <v>15.052</v>
          </cell>
          <cell r="R278">
            <v>15.545</v>
          </cell>
          <cell r="S278">
            <v>16.111000000000001</v>
          </cell>
          <cell r="T278">
            <v>16.702000000000002</v>
          </cell>
          <cell r="U278">
            <v>17.283000000000001</v>
          </cell>
          <cell r="V278">
            <v>17.84</v>
          </cell>
          <cell r="W278">
            <v>18.388000000000002</v>
          </cell>
          <cell r="X278">
            <v>18.965</v>
          </cell>
          <cell r="Y278">
            <v>19.622</v>
          </cell>
          <cell r="Z278">
            <v>20.396999999999998</v>
          </cell>
          <cell r="AA278">
            <v>21.31</v>
          </cell>
          <cell r="AB278">
            <v>22.34</v>
          </cell>
          <cell r="AC278">
            <v>23.44</v>
          </cell>
          <cell r="AD278">
            <v>24.536000000000001</v>
          </cell>
          <cell r="AE278">
            <v>25.58</v>
          </cell>
          <cell r="AF278">
            <v>26.548999999999999</v>
          </cell>
          <cell r="AG278">
            <v>27.47</v>
          </cell>
          <cell r="AH278">
            <v>28.399000000000001</v>
          </cell>
          <cell r="AI278">
            <v>29.416</v>
          </cell>
          <cell r="AJ278">
            <v>30.581</v>
          </cell>
          <cell r="AK278">
            <v>31.895</v>
          </cell>
          <cell r="AL278">
            <v>33.334000000000003</v>
          </cell>
          <cell r="AM278">
            <v>34.895000000000003</v>
          </cell>
          <cell r="AN278">
            <v>36.567</v>
          </cell>
          <cell r="AO278">
            <v>38.334000000000003</v>
          </cell>
          <cell r="AP278">
            <v>40.203000000000003</v>
          </cell>
          <cell r="AQ278">
            <v>42.148000000000003</v>
          </cell>
          <cell r="AR278">
            <v>44.063000000000002</v>
          </cell>
          <cell r="AS278">
            <v>45.813000000000002</v>
          </cell>
          <cell r="AT278">
            <v>47.3</v>
          </cell>
          <cell r="AU278">
            <v>48.481000000000002</v>
          </cell>
          <cell r="AV278">
            <v>49.381999999999998</v>
          </cell>
          <cell r="AW278">
            <v>50.052</v>
          </cell>
          <cell r="AX278">
            <v>50.576999999999998</v>
          </cell>
          <cell r="AY278">
            <v>51.02</v>
          </cell>
          <cell r="AZ278">
            <v>51.396999999999998</v>
          </cell>
          <cell r="BA278">
            <v>51.697000000000003</v>
          </cell>
          <cell r="BB278">
            <v>51.921999999999997</v>
          </cell>
          <cell r="BC278">
            <v>52.076000000000001</v>
          </cell>
          <cell r="BD278">
            <v>52.161000000000001</v>
          </cell>
          <cell r="BE278">
            <v>52.183999999999997</v>
          </cell>
          <cell r="BF278">
            <v>52.161000000000001</v>
          </cell>
          <cell r="BG278">
            <v>52.115000000000002</v>
          </cell>
          <cell r="BH278">
            <v>52.073999999999998</v>
          </cell>
          <cell r="BI278">
            <v>52.058</v>
          </cell>
          <cell r="BJ278">
            <v>52.08</v>
          </cell>
          <cell r="BK278">
            <v>52.136000000000003</v>
          </cell>
          <cell r="BL278">
            <v>52.220999999999997</v>
          </cell>
          <cell r="BM278">
            <v>52.320999999999998</v>
          </cell>
          <cell r="BN278">
            <v>52.427999999999997</v>
          </cell>
          <cell r="BO278">
            <v>52.540999999999997</v>
          </cell>
          <cell r="BP278">
            <v>52.662999999999997</v>
          </cell>
          <cell r="BQ278">
            <v>52.786000000000001</v>
          </cell>
          <cell r="BR278">
            <v>52.898000000000003</v>
          </cell>
          <cell r="BS278">
            <v>52.993000000000002</v>
          </cell>
        </row>
        <row r="279">
          <cell r="E279">
            <v>583</v>
          </cell>
          <cell r="F279">
            <v>32</v>
          </cell>
          <cell r="G279">
            <v>33.4</v>
          </cell>
          <cell r="H279">
            <v>34.595999999999997</v>
          </cell>
          <cell r="I279">
            <v>35.694000000000003</v>
          </cell>
          <cell r="J279">
            <v>36.774000000000001</v>
          </cell>
          <cell r="K279">
            <v>37.896000000000001</v>
          </cell>
          <cell r="L279">
            <v>39.091999999999999</v>
          </cell>
          <cell r="M279">
            <v>40.372</v>
          </cell>
          <cell r="N279">
            <v>41.725000000000001</v>
          </cell>
          <cell r="O279">
            <v>43.122999999999998</v>
          </cell>
          <cell r="P279">
            <v>44.539000000000001</v>
          </cell>
          <cell r="Q279">
            <v>45.956000000000003</v>
          </cell>
          <cell r="R279">
            <v>47.387</v>
          </cell>
          <cell r="S279">
            <v>48.875</v>
          </cell>
          <cell r="T279">
            <v>50.482999999999997</v>
          </cell>
          <cell r="U279">
            <v>52.238</v>
          </cell>
          <cell r="V279">
            <v>54.201000000000001</v>
          </cell>
          <cell r="W279">
            <v>56.323999999999998</v>
          </cell>
          <cell r="X279">
            <v>58.404000000000003</v>
          </cell>
          <cell r="Y279">
            <v>60.167000000000002</v>
          </cell>
          <cell r="Z279">
            <v>61.433</v>
          </cell>
          <cell r="AA279">
            <v>62.106999999999999</v>
          </cell>
          <cell r="AB279">
            <v>62.298000000000002</v>
          </cell>
          <cell r="AC279">
            <v>62.289000000000001</v>
          </cell>
          <cell r="AD279">
            <v>62.476999999999997</v>
          </cell>
          <cell r="AE279">
            <v>63.146000000000001</v>
          </cell>
          <cell r="AF279">
            <v>64.385999999999996</v>
          </cell>
          <cell r="AG279">
            <v>66.11</v>
          </cell>
          <cell r="AH279">
            <v>68.221000000000004</v>
          </cell>
          <cell r="AI279">
            <v>70.55</v>
          </cell>
          <cell r="AJ279">
            <v>72.966999999999999</v>
          </cell>
          <cell r="AK279">
            <v>75.462000000000003</v>
          </cell>
          <cell r="AL279">
            <v>78.057000000000002</v>
          </cell>
          <cell r="AM279">
            <v>80.677999999999997</v>
          </cell>
          <cell r="AN279">
            <v>83.242000000000004</v>
          </cell>
          <cell r="AO279">
            <v>85.688999999999993</v>
          </cell>
          <cell r="AP279">
            <v>87.947999999999993</v>
          </cell>
          <cell r="AQ279">
            <v>90.024000000000001</v>
          </cell>
          <cell r="AR279">
            <v>92.02</v>
          </cell>
          <cell r="AS279">
            <v>94.090999999999994</v>
          </cell>
          <cell r="AT279">
            <v>96.331000000000003</v>
          </cell>
          <cell r="AU279">
            <v>98.8</v>
          </cell>
          <cell r="AV279">
            <v>101.41200000000001</v>
          </cell>
          <cell r="AW279">
            <v>103.937</v>
          </cell>
          <cell r="AX279">
            <v>106.057</v>
          </cell>
          <cell r="AY279">
            <v>107.556</v>
          </cell>
          <cell r="AZ279">
            <v>108.342</v>
          </cell>
          <cell r="BA279">
            <v>108.506</v>
          </cell>
          <cell r="BB279">
            <v>108.236</v>
          </cell>
          <cell r="BC279">
            <v>107.80800000000001</v>
          </cell>
          <cell r="BD279">
            <v>107.43</v>
          </cell>
          <cell r="BE279">
            <v>107.17</v>
          </cell>
          <cell r="BF279">
            <v>106.983</v>
          </cell>
          <cell r="BG279">
            <v>106.816</v>
          </cell>
          <cell r="BH279">
            <v>106.575</v>
          </cell>
          <cell r="BI279">
            <v>106.19799999999999</v>
          </cell>
          <cell r="BJ279">
            <v>105.68</v>
          </cell>
          <cell r="BK279">
            <v>105.08</v>
          </cell>
          <cell r="BL279">
            <v>104.47199999999999</v>
          </cell>
          <cell r="BM279">
            <v>103.961</v>
          </cell>
          <cell r="BN279">
            <v>103.619</v>
          </cell>
          <cell r="BO279">
            <v>103.476</v>
          </cell>
          <cell r="BP279">
            <v>103.51600000000001</v>
          </cell>
          <cell r="BQ279">
            <v>103.718</v>
          </cell>
          <cell r="BR279">
            <v>104.044</v>
          </cell>
          <cell r="BS279">
            <v>104.46</v>
          </cell>
        </row>
        <row r="280">
          <cell r="E280">
            <v>520</v>
          </cell>
          <cell r="F280">
            <v>2.9529999999999998</v>
          </cell>
          <cell r="G280">
            <v>3.0590000000000002</v>
          </cell>
          <cell r="H280">
            <v>3.1909999999999998</v>
          </cell>
          <cell r="I280">
            <v>3.335</v>
          </cell>
          <cell r="J280">
            <v>3.4790000000000001</v>
          </cell>
          <cell r="K280">
            <v>3.621</v>
          </cell>
          <cell r="L280">
            <v>3.76</v>
          </cell>
          <cell r="M280">
            <v>3.9009999999999998</v>
          </cell>
          <cell r="N280">
            <v>4.0519999999999996</v>
          </cell>
          <cell r="O280">
            <v>4.2270000000000003</v>
          </cell>
          <cell r="P280">
            <v>4.4329999999999998</v>
          </cell>
          <cell r="Q280">
            <v>4.6749999999999998</v>
          </cell>
          <cell r="R280">
            <v>4.9470000000000001</v>
          </cell>
          <cell r="S280">
            <v>5.2309999999999999</v>
          </cell>
          <cell r="T280">
            <v>5.5</v>
          </cell>
          <cell r="U280">
            <v>5.7380000000000004</v>
          </cell>
          <cell r="V280">
            <v>5.9359999999999999</v>
          </cell>
          <cell r="W280">
            <v>6.1020000000000003</v>
          </cell>
          <cell r="X280">
            <v>6.2409999999999997</v>
          </cell>
          <cell r="Y280">
            <v>6.3680000000000003</v>
          </cell>
          <cell r="Z280">
            <v>6.4930000000000003</v>
          </cell>
          <cell r="AA280">
            <v>6.6189999999999998</v>
          </cell>
          <cell r="AB280">
            <v>6.7430000000000003</v>
          </cell>
          <cell r="AC280">
            <v>6.8620000000000001</v>
          </cell>
          <cell r="AD280">
            <v>6.9720000000000004</v>
          </cell>
          <cell r="AE280">
            <v>7.07</v>
          </cell>
          <cell r="AF280">
            <v>7.1559999999999997</v>
          </cell>
          <cell r="AG280">
            <v>7.2350000000000003</v>
          </cell>
          <cell r="AH280">
            <v>7.3109999999999999</v>
          </cell>
          <cell r="AI280">
            <v>7.3929999999999998</v>
          </cell>
          <cell r="AJ280">
            <v>7.4880000000000004</v>
          </cell>
          <cell r="AK280">
            <v>7.5970000000000004</v>
          </cell>
          <cell r="AL280">
            <v>7.7190000000000003</v>
          </cell>
          <cell r="AM280">
            <v>7.8550000000000004</v>
          </cell>
          <cell r="AN280">
            <v>8.0069999999999997</v>
          </cell>
          <cell r="AO280">
            <v>8.1739999999999995</v>
          </cell>
          <cell r="AP280">
            <v>8.3559999999999999</v>
          </cell>
          <cell r="AQ280">
            <v>8.5500000000000007</v>
          </cell>
          <cell r="AR280">
            <v>8.7520000000000007</v>
          </cell>
          <cell r="AS280">
            <v>8.9559999999999995</v>
          </cell>
          <cell r="AT280">
            <v>9.157</v>
          </cell>
          <cell r="AU280">
            <v>9.3539999999999992</v>
          </cell>
          <cell r="AV280">
            <v>9.5440000000000005</v>
          </cell>
          <cell r="AW280">
            <v>9.7189999999999994</v>
          </cell>
          <cell r="AX280">
            <v>9.8629999999999995</v>
          </cell>
          <cell r="AY280">
            <v>9.9700000000000006</v>
          </cell>
          <cell r="AZ280">
            <v>10.032999999999999</v>
          </cell>
          <cell r="BA280">
            <v>10.055999999999999</v>
          </cell>
          <cell r="BB280">
            <v>10.054</v>
          </cell>
          <cell r="BC280">
            <v>10.044</v>
          </cell>
          <cell r="BD280">
            <v>10.042</v>
          </cell>
          <cell r="BE280">
            <v>10.053000000000001</v>
          </cell>
          <cell r="BF280">
            <v>10.073</v>
          </cell>
          <cell r="BG280">
            <v>10.096</v>
          </cell>
          <cell r="BH280">
            <v>10.113</v>
          </cell>
          <cell r="BI280">
            <v>10.115</v>
          </cell>
          <cell r="BJ280">
            <v>10.101000000000001</v>
          </cell>
          <cell r="BK280">
            <v>10.074999999999999</v>
          </cell>
          <cell r="BL280">
            <v>10.047000000000001</v>
          </cell>
          <cell r="BM280">
            <v>10.028</v>
          </cell>
          <cell r="BN280">
            <v>10.025</v>
          </cell>
          <cell r="BO280">
            <v>10.042999999999999</v>
          </cell>
          <cell r="BP280">
            <v>10.079000000000001</v>
          </cell>
          <cell r="BQ280">
            <v>10.125</v>
          </cell>
          <cell r="BR280">
            <v>10.176</v>
          </cell>
          <cell r="BS280">
            <v>10.222</v>
          </cell>
        </row>
        <row r="281">
          <cell r="E281">
            <v>580</v>
          </cell>
          <cell r="F281">
            <v>6.9989999999999997</v>
          </cell>
          <cell r="G281">
            <v>7.0890000000000004</v>
          </cell>
          <cell r="H281">
            <v>7.2220000000000004</v>
          </cell>
          <cell r="I281">
            <v>7.4169999999999998</v>
          </cell>
          <cell r="J281">
            <v>7.6849999999999996</v>
          </cell>
          <cell r="K281">
            <v>8.0259999999999998</v>
          </cell>
          <cell r="L281">
            <v>8.4269999999999996</v>
          </cell>
          <cell r="M281">
            <v>8.8640000000000008</v>
          </cell>
          <cell r="N281">
            <v>9.3070000000000004</v>
          </cell>
          <cell r="O281">
            <v>9.7210000000000001</v>
          </cell>
          <cell r="P281">
            <v>10.07</v>
          </cell>
          <cell r="Q281">
            <v>10.34</v>
          </cell>
          <cell r="R281">
            <v>10.541</v>
          </cell>
          <cell r="S281">
            <v>10.709</v>
          </cell>
          <cell r="T281">
            <v>10.901</v>
          </cell>
          <cell r="U281">
            <v>11.157</v>
          </cell>
          <cell r="V281">
            <v>11.489000000000001</v>
          </cell>
          <cell r="W281">
            <v>11.882</v>
          </cell>
          <cell r="X281">
            <v>12.318</v>
          </cell>
          <cell r="Y281">
            <v>12.766</v>
          </cell>
          <cell r="Z281">
            <v>13.202999999999999</v>
          </cell>
          <cell r="AA281">
            <v>13.657999999999999</v>
          </cell>
          <cell r="AB281">
            <v>14.141999999999999</v>
          </cell>
          <cell r="AC281">
            <v>14.605</v>
          </cell>
          <cell r="AD281">
            <v>14.978</v>
          </cell>
          <cell r="AE281">
            <v>15.231999999999999</v>
          </cell>
          <cell r="AF281">
            <v>15.316000000000001</v>
          </cell>
          <cell r="AG281">
            <v>15.292999999999999</v>
          </cell>
          <cell r="AH281">
            <v>15.39</v>
          </cell>
          <cell r="AI281">
            <v>15.906000000000001</v>
          </cell>
          <cell r="AJ281">
            <v>17.047999999999998</v>
          </cell>
          <cell r="AK281">
            <v>18.905999999999999</v>
          </cell>
          <cell r="AL281">
            <v>21.393000000000001</v>
          </cell>
          <cell r="AM281">
            <v>24.308</v>
          </cell>
          <cell r="AN281">
            <v>27.363</v>
          </cell>
          <cell r="AO281">
            <v>30.341000000000001</v>
          </cell>
          <cell r="AP281">
            <v>33.173000000000002</v>
          </cell>
          <cell r="AQ281">
            <v>35.904000000000003</v>
          </cell>
          <cell r="AR281">
            <v>38.57</v>
          </cell>
          <cell r="AS281">
            <v>41.243000000000002</v>
          </cell>
          <cell r="AT281">
            <v>43.972000000000001</v>
          </cell>
          <cell r="AU281">
            <v>46.719000000000001</v>
          </cell>
          <cell r="AV281">
            <v>49.429000000000002</v>
          </cell>
          <cell r="AW281">
            <v>52.12</v>
          </cell>
          <cell r="AX281">
            <v>54.817</v>
          </cell>
          <cell r="AY281">
            <v>57.518000000000001</v>
          </cell>
          <cell r="AZ281">
            <v>60.247999999999998</v>
          </cell>
          <cell r="BA281">
            <v>62.939</v>
          </cell>
          <cell r="BB281">
            <v>65.373999999999995</v>
          </cell>
          <cell r="BC281">
            <v>67.271000000000001</v>
          </cell>
          <cell r="BD281">
            <v>68.433999999999997</v>
          </cell>
          <cell r="BE281">
            <v>68.816999999999993</v>
          </cell>
          <cell r="BF281">
            <v>68.498999999999995</v>
          </cell>
          <cell r="BG281">
            <v>67.561999999999998</v>
          </cell>
          <cell r="BH281">
            <v>66.143000000000001</v>
          </cell>
          <cell r="BI281">
            <v>64.372</v>
          </cell>
          <cell r="BJ281">
            <v>62.234999999999999</v>
          </cell>
          <cell r="BK281">
            <v>59.790999999999997</v>
          </cell>
          <cell r="BL281">
            <v>57.343000000000004</v>
          </cell>
          <cell r="BM281">
            <v>55.276000000000003</v>
          </cell>
          <cell r="BN281">
            <v>53.86</v>
          </cell>
          <cell r="BO281">
            <v>53.234000000000002</v>
          </cell>
          <cell r="BP281">
            <v>53.314</v>
          </cell>
          <cell r="BQ281">
            <v>53.869</v>
          </cell>
          <cell r="BR281">
            <v>54.540999999999997</v>
          </cell>
          <cell r="BS281">
            <v>55.07</v>
          </cell>
        </row>
        <row r="282">
          <cell r="E282">
            <v>585</v>
          </cell>
          <cell r="F282">
            <v>7.4409999999999998</v>
          </cell>
          <cell r="G282">
            <v>7.4969999999999999</v>
          </cell>
          <cell r="H282">
            <v>7.62</v>
          </cell>
          <cell r="I282">
            <v>7.7969999999999997</v>
          </cell>
          <cell r="J282">
            <v>8.0129999999999999</v>
          </cell>
          <cell r="K282">
            <v>8.2590000000000003</v>
          </cell>
          <cell r="L282">
            <v>8.5250000000000004</v>
          </cell>
          <cell r="M282">
            <v>8.8019999999999996</v>
          </cell>
          <cell r="N282">
            <v>9.0839999999999996</v>
          </cell>
          <cell r="O282">
            <v>9.3640000000000008</v>
          </cell>
          <cell r="P282">
            <v>9.6379999999999999</v>
          </cell>
          <cell r="Q282">
            <v>9.9009999999999998</v>
          </cell>
          <cell r="R282">
            <v>10.15</v>
          </cell>
          <cell r="S282">
            <v>10.381</v>
          </cell>
          <cell r="T282">
            <v>10.593</v>
          </cell>
          <cell r="U282">
            <v>10.782</v>
          </cell>
          <cell r="V282">
            <v>10.945</v>
          </cell>
          <cell r="W282">
            <v>11.081</v>
          </cell>
          <cell r="X282">
            <v>11.206</v>
          </cell>
          <cell r="Y282">
            <v>11.335000000000001</v>
          </cell>
          <cell r="Z282">
            <v>11.481</v>
          </cell>
          <cell r="AA282">
            <v>11.656000000000001</v>
          </cell>
          <cell r="AB282">
            <v>11.853</v>
          </cell>
          <cell r="AC282">
            <v>12.045</v>
          </cell>
          <cell r="AD282">
            <v>12.195</v>
          </cell>
          <cell r="AE282">
            <v>12.28</v>
          </cell>
          <cell r="AF282">
            <v>12.284000000000001</v>
          </cell>
          <cell r="AG282">
            <v>12.225</v>
          </cell>
          <cell r="AH282">
            <v>12.151</v>
          </cell>
          <cell r="AI282">
            <v>12.127000000000001</v>
          </cell>
          <cell r="AJ282">
            <v>12.196999999999999</v>
          </cell>
          <cell r="AK282">
            <v>12.382999999999999</v>
          </cell>
          <cell r="AL282">
            <v>12.667</v>
          </cell>
          <cell r="AM282">
            <v>13.015000000000001</v>
          </cell>
          <cell r="AN282">
            <v>13.371</v>
          </cell>
          <cell r="AO282">
            <v>13.698</v>
          </cell>
          <cell r="AP282">
            <v>13.981999999999999</v>
          </cell>
          <cell r="AQ282">
            <v>14.237</v>
          </cell>
          <cell r="AR282">
            <v>14.484999999999999</v>
          </cell>
          <cell r="AS282">
            <v>14.762</v>
          </cell>
          <cell r="AT282">
            <v>15.089</v>
          </cell>
          <cell r="AU282">
            <v>15.471</v>
          </cell>
          <cell r="AV282">
            <v>15.894</v>
          </cell>
          <cell r="AW282">
            <v>16.344999999999999</v>
          </cell>
          <cell r="AX282">
            <v>16.805</v>
          </cell>
          <cell r="AY282">
            <v>17.254999999999999</v>
          </cell>
          <cell r="AZ282">
            <v>17.695</v>
          </cell>
          <cell r="BA282">
            <v>18.123000000000001</v>
          </cell>
          <cell r="BB282">
            <v>18.524000000000001</v>
          </cell>
          <cell r="BC282">
            <v>18.878</v>
          </cell>
          <cell r="BD282">
            <v>19.173999999999999</v>
          </cell>
          <cell r="BE282">
            <v>19.404</v>
          </cell>
          <cell r="BF282">
            <v>19.574999999999999</v>
          </cell>
          <cell r="BG282">
            <v>19.7</v>
          </cell>
          <cell r="BH282">
            <v>19.805</v>
          </cell>
          <cell r="BI282">
            <v>19.907</v>
          </cell>
          <cell r="BJ282">
            <v>20.012</v>
          </cell>
          <cell r="BK282">
            <v>20.117999999999999</v>
          </cell>
          <cell r="BL282">
            <v>20.227</v>
          </cell>
          <cell r="BM282">
            <v>20.344000000000001</v>
          </cell>
          <cell r="BN282">
            <v>20.47</v>
          </cell>
          <cell r="BO282">
            <v>20.606000000000002</v>
          </cell>
          <cell r="BP282">
            <v>20.756</v>
          </cell>
          <cell r="BQ282">
            <v>20.919</v>
          </cell>
          <cell r="BR282">
            <v>21.097000000000001</v>
          </cell>
          <cell r="BS282">
            <v>21.291</v>
          </cell>
        </row>
        <row r="283">
          <cell r="E283">
            <v>957</v>
          </cell>
          <cell r="F283">
            <v>242.011</v>
          </cell>
          <cell r="G283">
            <v>249.04599999999999</v>
          </cell>
          <cell r="H283">
            <v>255.762</v>
          </cell>
          <cell r="I283">
            <v>262.14299999999997</v>
          </cell>
          <cell r="J283">
            <v>268.22800000000001</v>
          </cell>
          <cell r="K283">
            <v>274.11900000000003</v>
          </cell>
          <cell r="L283">
            <v>279.97699999999998</v>
          </cell>
          <cell r="M283">
            <v>286.02699999999999</v>
          </cell>
          <cell r="N283">
            <v>292.52499999999998</v>
          </cell>
          <cell r="O283">
            <v>299.76400000000001</v>
          </cell>
          <cell r="P283">
            <v>307.96699999999998</v>
          </cell>
          <cell r="Q283">
            <v>317.24</v>
          </cell>
          <cell r="R283">
            <v>327.49</v>
          </cell>
          <cell r="S283">
            <v>338.39400000000001</v>
          </cell>
          <cell r="T283">
            <v>349.49200000000002</v>
          </cell>
          <cell r="U283">
            <v>360.41899999999998</v>
          </cell>
          <cell r="V283">
            <v>371.10300000000001</v>
          </cell>
          <cell r="W283">
            <v>381.55599999999998</v>
          </cell>
          <cell r="X283">
            <v>391.584</v>
          </cell>
          <cell r="Y283">
            <v>400.98399999999998</v>
          </cell>
          <cell r="Z283">
            <v>409.62299999999999</v>
          </cell>
          <cell r="AA283">
            <v>417.411</v>
          </cell>
          <cell r="AB283">
            <v>424.39699999999999</v>
          </cell>
          <cell r="AC283">
            <v>430.79500000000002</v>
          </cell>
          <cell r="AD283">
            <v>436.90899999999999</v>
          </cell>
          <cell r="AE283">
            <v>442.98500000000001</v>
          </cell>
          <cell r="AF283">
            <v>449.06299999999999</v>
          </cell>
          <cell r="AG283">
            <v>455.13099999999997</v>
          </cell>
          <cell r="AH283">
            <v>461.32299999999998</v>
          </cell>
          <cell r="AI283">
            <v>467.77499999999998</v>
          </cell>
          <cell r="AJ283">
            <v>474.58</v>
          </cell>
          <cell r="AK283">
            <v>481.815</v>
          </cell>
          <cell r="AL283">
            <v>489.44200000000001</v>
          </cell>
          <cell r="AM283">
            <v>497.29199999999997</v>
          </cell>
          <cell r="AN283">
            <v>505.12900000000002</v>
          </cell>
          <cell r="AO283">
            <v>512.77</v>
          </cell>
          <cell r="AP283">
            <v>520.17100000000005</v>
          </cell>
          <cell r="AQ283">
            <v>527.37599999999998</v>
          </cell>
          <cell r="AR283">
            <v>534.37900000000002</v>
          </cell>
          <cell r="AS283">
            <v>541.202</v>
          </cell>
          <cell r="AT283">
            <v>547.86900000000003</v>
          </cell>
          <cell r="AU283">
            <v>554.34799999999996</v>
          </cell>
          <cell r="AV283">
            <v>560.63900000000001</v>
          </cell>
          <cell r="AW283">
            <v>566.84299999999996</v>
          </cell>
          <cell r="AX283">
            <v>573.09400000000005</v>
          </cell>
          <cell r="AY283">
            <v>579.48299999999995</v>
          </cell>
          <cell r="AZ283">
            <v>586.03800000000001</v>
          </cell>
          <cell r="BA283">
            <v>592.71</v>
          </cell>
          <cell r="BB283">
            <v>599.41600000000005</v>
          </cell>
          <cell r="BC283">
            <v>606.04499999999996</v>
          </cell>
          <cell r="BD283">
            <v>612.495</v>
          </cell>
          <cell r="BE283">
            <v>618.78</v>
          </cell>
          <cell r="BF283">
            <v>624.90599999999995</v>
          </cell>
          <cell r="BG283">
            <v>630.745</v>
          </cell>
          <cell r="BH283">
            <v>636.14499999999998</v>
          </cell>
          <cell r="BI283">
            <v>641.02200000000005</v>
          </cell>
          <cell r="BJ283">
            <v>645.30100000000004</v>
          </cell>
          <cell r="BK283">
            <v>649.06899999999996</v>
          </cell>
          <cell r="BL283">
            <v>652.57500000000005</v>
          </cell>
          <cell r="BM283">
            <v>656.16899999999998</v>
          </cell>
          <cell r="BN283">
            <v>660.10900000000004</v>
          </cell>
          <cell r="BO283">
            <v>664.46900000000005</v>
          </cell>
          <cell r="BP283">
            <v>669.18399999999997</v>
          </cell>
          <cell r="BQ283">
            <v>674.16899999999998</v>
          </cell>
          <cell r="BR283">
            <v>679.30100000000004</v>
          </cell>
          <cell r="BS283">
            <v>684.46</v>
          </cell>
        </row>
        <row r="284">
          <cell r="E284">
            <v>16</v>
          </cell>
          <cell r="F284">
            <v>18.937000000000001</v>
          </cell>
          <cell r="G284">
            <v>19.295000000000002</v>
          </cell>
          <cell r="H284">
            <v>19.542999999999999</v>
          </cell>
          <cell r="I284">
            <v>19.683</v>
          </cell>
          <cell r="J284">
            <v>19.728999999999999</v>
          </cell>
          <cell r="K284">
            <v>19.706</v>
          </cell>
          <cell r="L284">
            <v>19.646999999999998</v>
          </cell>
          <cell r="M284">
            <v>19.597000000000001</v>
          </cell>
          <cell r="N284">
            <v>19.606000000000002</v>
          </cell>
          <cell r="O284">
            <v>19.728999999999999</v>
          </cell>
          <cell r="P284">
            <v>20.012</v>
          </cell>
          <cell r="Q284">
            <v>20.478000000000002</v>
          </cell>
          <cell r="R284">
            <v>21.117999999999999</v>
          </cell>
          <cell r="S284">
            <v>21.882999999999999</v>
          </cell>
          <cell r="T284">
            <v>22.701000000000001</v>
          </cell>
          <cell r="U284">
            <v>23.518000000000001</v>
          </cell>
          <cell r="V284">
            <v>24.32</v>
          </cell>
          <cell r="W284">
            <v>25.116</v>
          </cell>
          <cell r="X284">
            <v>25.885999999999999</v>
          </cell>
          <cell r="Y284">
            <v>26.614999999999998</v>
          </cell>
          <cell r="Z284">
            <v>27.292000000000002</v>
          </cell>
          <cell r="AA284">
            <v>27.916</v>
          </cell>
          <cell r="AB284">
            <v>28.49</v>
          </cell>
          <cell r="AC284">
            <v>29.013999999999999</v>
          </cell>
          <cell r="AD284">
            <v>29.491</v>
          </cell>
          <cell r="AE284">
            <v>29.931999999999999</v>
          </cell>
          <cell r="AF284">
            <v>30.324999999999999</v>
          </cell>
          <cell r="AG284">
            <v>30.69</v>
          </cell>
          <cell r="AH284">
            <v>31.105</v>
          </cell>
          <cell r="AI284">
            <v>31.67</v>
          </cell>
          <cell r="AJ284">
            <v>32.456000000000003</v>
          </cell>
          <cell r="AK284">
            <v>33.488</v>
          </cell>
          <cell r="AL284">
            <v>34.74</v>
          </cell>
          <cell r="AM284">
            <v>36.164999999999999</v>
          </cell>
          <cell r="AN284">
            <v>37.686999999999998</v>
          </cell>
          <cell r="AO284">
            <v>39.247</v>
          </cell>
          <cell r="AP284">
            <v>40.835000000000001</v>
          </cell>
          <cell r="AQ284">
            <v>42.448</v>
          </cell>
          <cell r="AR284">
            <v>44.048999999999999</v>
          </cell>
          <cell r="AS284">
            <v>45.591000000000001</v>
          </cell>
          <cell r="AT284">
            <v>47.043999999999997</v>
          </cell>
          <cell r="AU284">
            <v>48.378999999999998</v>
          </cell>
          <cell r="AV284">
            <v>49.597000000000001</v>
          </cell>
          <cell r="AW284">
            <v>50.725000000000001</v>
          </cell>
          <cell r="AX284">
            <v>51.807000000000002</v>
          </cell>
          <cell r="AY284">
            <v>52.874000000000002</v>
          </cell>
          <cell r="AZ284">
            <v>53.926000000000002</v>
          </cell>
          <cell r="BA284">
            <v>54.942</v>
          </cell>
          <cell r="BB284">
            <v>55.899000000000001</v>
          </cell>
          <cell r="BC284">
            <v>56.768000000000001</v>
          </cell>
          <cell r="BD284">
            <v>57.521999999999998</v>
          </cell>
          <cell r="BE284">
            <v>58.176000000000002</v>
          </cell>
          <cell r="BF284">
            <v>58.728999999999999</v>
          </cell>
          <cell r="BG284">
            <v>59.116999999999997</v>
          </cell>
          <cell r="BH284">
            <v>59.262</v>
          </cell>
          <cell r="BI284">
            <v>59.116999999999997</v>
          </cell>
          <cell r="BJ284">
            <v>58.648000000000003</v>
          </cell>
          <cell r="BK284">
            <v>57.904000000000003</v>
          </cell>
          <cell r="BL284">
            <v>57.030999999999999</v>
          </cell>
          <cell r="BM284">
            <v>56.225999999999999</v>
          </cell>
          <cell r="BN284">
            <v>55.636000000000003</v>
          </cell>
          <cell r="BO284">
            <v>55.316000000000003</v>
          </cell>
          <cell r="BP284">
            <v>55.226999999999997</v>
          </cell>
          <cell r="BQ284">
            <v>55.302</v>
          </cell>
          <cell r="BR284">
            <v>55.433999999999997</v>
          </cell>
          <cell r="BS284">
            <v>55.537999999999997</v>
          </cell>
        </row>
        <row r="285">
          <cell r="E285">
            <v>184</v>
          </cell>
          <cell r="F285">
            <v>15.079000000000001</v>
          </cell>
          <cell r="G285">
            <v>15.411</v>
          </cell>
          <cell r="H285">
            <v>15.638</v>
          </cell>
          <cell r="I285">
            <v>15.84</v>
          </cell>
          <cell r="J285">
            <v>16.074999999999999</v>
          </cell>
          <cell r="K285">
            <v>16.373000000000001</v>
          </cell>
          <cell r="L285">
            <v>16.739000000000001</v>
          </cell>
          <cell r="M285">
            <v>17.155999999999999</v>
          </cell>
          <cell r="N285">
            <v>17.584</v>
          </cell>
          <cell r="O285">
            <v>17.968</v>
          </cell>
          <cell r="P285">
            <v>18.259</v>
          </cell>
          <cell r="Q285">
            <v>18.434999999999999</v>
          </cell>
          <cell r="R285">
            <v>18.515000000000001</v>
          </cell>
          <cell r="S285">
            <v>18.57</v>
          </cell>
          <cell r="T285">
            <v>18.699000000000002</v>
          </cell>
          <cell r="U285">
            <v>18.969000000000001</v>
          </cell>
          <cell r="V285">
            <v>19.408999999999999</v>
          </cell>
          <cell r="W285">
            <v>19.978999999999999</v>
          </cell>
          <cell r="X285">
            <v>20.584</v>
          </cell>
          <cell r="Y285">
            <v>21.091000000000001</v>
          </cell>
          <cell r="Z285">
            <v>21.405999999999999</v>
          </cell>
          <cell r="AA285">
            <v>21.507000000000001</v>
          </cell>
          <cell r="AB285">
            <v>21.422000000000001</v>
          </cell>
          <cell r="AC285">
            <v>21.177</v>
          </cell>
          <cell r="AD285">
            <v>20.808</v>
          </cell>
          <cell r="AE285">
            <v>20.355</v>
          </cell>
          <cell r="AF285">
            <v>19.809999999999999</v>
          </cell>
          <cell r="AG285">
            <v>19.183</v>
          </cell>
          <cell r="AH285">
            <v>18.548999999999999</v>
          </cell>
          <cell r="AI285">
            <v>18.006</v>
          </cell>
          <cell r="AJ285">
            <v>17.623000000000001</v>
          </cell>
          <cell r="AK285">
            <v>17.437000000000001</v>
          </cell>
          <cell r="AL285">
            <v>17.425000000000001</v>
          </cell>
          <cell r="AM285">
            <v>17.527000000000001</v>
          </cell>
          <cell r="AN285">
            <v>17.649000000000001</v>
          </cell>
          <cell r="AO285">
            <v>17.722000000000001</v>
          </cell>
          <cell r="AP285">
            <v>17.724</v>
          </cell>
          <cell r="AQ285">
            <v>17.677</v>
          </cell>
          <cell r="AR285">
            <v>17.611000000000001</v>
          </cell>
          <cell r="AS285">
            <v>17.579000000000001</v>
          </cell>
          <cell r="AT285">
            <v>17.613</v>
          </cell>
          <cell r="AU285">
            <v>17.73</v>
          </cell>
          <cell r="AV285">
            <v>17.908999999999999</v>
          </cell>
          <cell r="AW285">
            <v>18.103000000000002</v>
          </cell>
          <cell r="AX285">
            <v>18.25</v>
          </cell>
          <cell r="AY285">
            <v>18.305</v>
          </cell>
          <cell r="AZ285">
            <v>18.244</v>
          </cell>
          <cell r="BA285">
            <v>18.093</v>
          </cell>
          <cell r="BB285">
            <v>17.914999999999999</v>
          </cell>
          <cell r="BC285">
            <v>17.806000000000001</v>
          </cell>
          <cell r="BD285">
            <v>17.826000000000001</v>
          </cell>
          <cell r="BE285">
            <v>18.003</v>
          </cell>
          <cell r="BF285">
            <v>18.308</v>
          </cell>
          <cell r="BG285">
            <v>18.690000000000001</v>
          </cell>
          <cell r="BH285">
            <v>19.071999999999999</v>
          </cell>
          <cell r="BI285">
            <v>19.399000000000001</v>
          </cell>
          <cell r="BJ285">
            <v>19.655999999999999</v>
          </cell>
          <cell r="BK285">
            <v>19.859000000000002</v>
          </cell>
          <cell r="BL285">
            <v>20.018000000000001</v>
          </cell>
          <cell r="BM285">
            <v>20.154</v>
          </cell>
          <cell r="BN285">
            <v>20.283999999999999</v>
          </cell>
          <cell r="BO285">
            <v>20.407</v>
          </cell>
          <cell r="BP285">
            <v>20.518000000000001</v>
          </cell>
          <cell r="BQ285">
            <v>20.620999999999999</v>
          </cell>
          <cell r="BR285">
            <v>20.725000000000001</v>
          </cell>
          <cell r="BS285">
            <v>20.832999999999998</v>
          </cell>
        </row>
        <row r="286">
          <cell r="E286">
            <v>258</v>
          </cell>
          <cell r="F286">
            <v>60.268000000000001</v>
          </cell>
          <cell r="G286">
            <v>62.082999999999998</v>
          </cell>
          <cell r="H286">
            <v>63.869</v>
          </cell>
          <cell r="I286">
            <v>65.593999999999994</v>
          </cell>
          <cell r="J286">
            <v>67.248999999999995</v>
          </cell>
          <cell r="K286">
            <v>68.849000000000004</v>
          </cell>
          <cell r="L286">
            <v>70.433000000000007</v>
          </cell>
          <cell r="M286">
            <v>72.063000000000002</v>
          </cell>
          <cell r="N286">
            <v>73.822000000000003</v>
          </cell>
          <cell r="O286">
            <v>75.802999999999997</v>
          </cell>
          <cell r="P286">
            <v>78.082999999999998</v>
          </cell>
          <cell r="Q286">
            <v>80.706000000000003</v>
          </cell>
          <cell r="R286">
            <v>83.653999999999996</v>
          </cell>
          <cell r="S286">
            <v>86.838999999999999</v>
          </cell>
          <cell r="T286">
            <v>90.132000000000005</v>
          </cell>
          <cell r="U286">
            <v>93.44</v>
          </cell>
          <cell r="V286">
            <v>96.73</v>
          </cell>
          <cell r="W286">
            <v>100.03100000000001</v>
          </cell>
          <cell r="X286">
            <v>103.38500000000001</v>
          </cell>
          <cell r="Y286">
            <v>106.858</v>
          </cell>
          <cell r="Z286">
            <v>110.496</v>
          </cell>
          <cell r="AA286">
            <v>114.31100000000001</v>
          </cell>
          <cell r="AB286">
            <v>118.279</v>
          </cell>
          <cell r="AC286">
            <v>122.355</v>
          </cell>
          <cell r="AD286">
            <v>126.483</v>
          </cell>
          <cell r="AE286">
            <v>130.619</v>
          </cell>
          <cell r="AF286">
            <v>134.74299999999999</v>
          </cell>
          <cell r="AG286">
            <v>138.86699999999999</v>
          </cell>
          <cell r="AH286">
            <v>143.03299999999999</v>
          </cell>
          <cell r="AI286">
            <v>147.29900000000001</v>
          </cell>
          <cell r="AJ286">
            <v>151.702</v>
          </cell>
          <cell r="AK286">
            <v>156.24</v>
          </cell>
          <cell r="AL286">
            <v>160.88300000000001</v>
          </cell>
          <cell r="AM286">
            <v>165.61099999999999</v>
          </cell>
          <cell r="AN286">
            <v>170.39699999999999</v>
          </cell>
          <cell r="AO286">
            <v>175.208</v>
          </cell>
          <cell r="AP286">
            <v>180.06899999999999</v>
          </cell>
          <cell r="AQ286">
            <v>184.958</v>
          </cell>
          <cell r="AR286">
            <v>189.74199999999999</v>
          </cell>
          <cell r="AS286">
            <v>194.249</v>
          </cell>
          <cell r="AT286">
            <v>198.37</v>
          </cell>
          <cell r="AU286">
            <v>202.02</v>
          </cell>
          <cell r="AV286">
            <v>205.26900000000001</v>
          </cell>
          <cell r="AW286">
            <v>208.34899999999999</v>
          </cell>
          <cell r="AX286">
            <v>211.584</v>
          </cell>
          <cell r="AY286">
            <v>215.2</v>
          </cell>
          <cell r="AZ286">
            <v>219.28200000000001</v>
          </cell>
          <cell r="BA286">
            <v>223.73400000000001</v>
          </cell>
          <cell r="BB286">
            <v>228.38</v>
          </cell>
          <cell r="BC286">
            <v>232.95599999999999</v>
          </cell>
          <cell r="BD286">
            <v>237.267</v>
          </cell>
          <cell r="BE286">
            <v>241.27600000000001</v>
          </cell>
          <cell r="BF286">
            <v>245.03200000000001</v>
          </cell>
          <cell r="BG286">
            <v>248.536</v>
          </cell>
          <cell r="BH286">
            <v>251.81100000000001</v>
          </cell>
          <cell r="BI286">
            <v>254.88399999999999</v>
          </cell>
          <cell r="BJ286">
            <v>257.73099999999999</v>
          </cell>
          <cell r="BK286">
            <v>260.36099999999999</v>
          </cell>
          <cell r="BL286">
            <v>262.87700000000001</v>
          </cell>
          <cell r="BM286">
            <v>265.41199999999998</v>
          </cell>
          <cell r="BN286">
            <v>268.065</v>
          </cell>
          <cell r="BO286">
            <v>270.86200000000002</v>
          </cell>
          <cell r="BP286">
            <v>273.77499999999998</v>
          </cell>
          <cell r="BQ286">
            <v>276.76600000000002</v>
          </cell>
          <cell r="BR286">
            <v>279.78100000000001</v>
          </cell>
          <cell r="BS286">
            <v>282.76400000000001</v>
          </cell>
        </row>
        <row r="287">
          <cell r="E287">
            <v>570</v>
          </cell>
          <cell r="F287">
            <v>4.6669999999999998</v>
          </cell>
          <cell r="G287">
            <v>4.6820000000000004</v>
          </cell>
          <cell r="H287">
            <v>4.6870000000000003</v>
          </cell>
          <cell r="I287">
            <v>4.6870000000000003</v>
          </cell>
          <cell r="J287">
            <v>4.6870000000000003</v>
          </cell>
          <cell r="K287">
            <v>4.6909999999999998</v>
          </cell>
          <cell r="L287">
            <v>4.702</v>
          </cell>
          <cell r="M287">
            <v>4.7220000000000004</v>
          </cell>
          <cell r="N287">
            <v>4.75</v>
          </cell>
          <cell r="O287">
            <v>4.7859999999999996</v>
          </cell>
          <cell r="P287">
            <v>4.8289999999999997</v>
          </cell>
          <cell r="Q287">
            <v>4.8780000000000001</v>
          </cell>
          <cell r="R287">
            <v>4.93</v>
          </cell>
          <cell r="S287">
            <v>4.9850000000000003</v>
          </cell>
          <cell r="T287">
            <v>5.0410000000000004</v>
          </cell>
          <cell r="U287">
            <v>5.0949999999999998</v>
          </cell>
          <cell r="V287">
            <v>5.1520000000000001</v>
          </cell>
          <cell r="W287">
            <v>5.2060000000000004</v>
          </cell>
          <cell r="X287">
            <v>5.2380000000000004</v>
          </cell>
          <cell r="Y287">
            <v>5.218</v>
          </cell>
          <cell r="Z287">
            <v>5.13</v>
          </cell>
          <cell r="AA287">
            <v>4.9619999999999997</v>
          </cell>
          <cell r="AB287">
            <v>4.7270000000000003</v>
          </cell>
          <cell r="AC287">
            <v>4.4539999999999997</v>
          </cell>
          <cell r="AD287">
            <v>4.1909999999999998</v>
          </cell>
          <cell r="AE287">
            <v>3.972</v>
          </cell>
          <cell r="AF287">
            <v>3.8069999999999999</v>
          </cell>
          <cell r="AG287">
            <v>3.6880000000000002</v>
          </cell>
          <cell r="AH287">
            <v>3.5979999999999999</v>
          </cell>
          <cell r="AI287">
            <v>3.5089999999999999</v>
          </cell>
          <cell r="AJ287">
            <v>3.4020000000000001</v>
          </cell>
          <cell r="AK287">
            <v>3.2719999999999998</v>
          </cell>
          <cell r="AL287">
            <v>3.129</v>
          </cell>
          <cell r="AM287">
            <v>2.98</v>
          </cell>
          <cell r="AN287">
            <v>2.839</v>
          </cell>
          <cell r="AO287">
            <v>2.7149999999999999</v>
          </cell>
          <cell r="AP287">
            <v>2.61</v>
          </cell>
          <cell r="AQ287">
            <v>2.5209999999999999</v>
          </cell>
          <cell r="AR287">
            <v>2.4470000000000001</v>
          </cell>
          <cell r="AS287">
            <v>2.3849999999999998</v>
          </cell>
          <cell r="AT287">
            <v>2.3319999999999999</v>
          </cell>
          <cell r="AU287">
            <v>2.2909999999999999</v>
          </cell>
          <cell r="AV287">
            <v>2.2589999999999999</v>
          </cell>
          <cell r="AW287">
            <v>2.2320000000000002</v>
          </cell>
          <cell r="AX287">
            <v>2.2029999999999998</v>
          </cell>
          <cell r="AY287">
            <v>2.1669999999999998</v>
          </cell>
          <cell r="AZ287">
            <v>2.1219999999999999</v>
          </cell>
          <cell r="BA287">
            <v>2.069</v>
          </cell>
          <cell r="BB287">
            <v>2.012</v>
          </cell>
          <cell r="BC287">
            <v>1.954</v>
          </cell>
          <cell r="BD287">
            <v>1.9</v>
          </cell>
          <cell r="BE287">
            <v>1.8480000000000001</v>
          </cell>
          <cell r="BF287">
            <v>1.8</v>
          </cell>
          <cell r="BG287">
            <v>1.756</v>
          </cell>
          <cell r="BH287">
            <v>1.718</v>
          </cell>
          <cell r="BI287">
            <v>1.6859999999999999</v>
          </cell>
          <cell r="BJ287">
            <v>1.6619999999999999</v>
          </cell>
          <cell r="BK287">
            <v>1.645</v>
          </cell>
          <cell r="BL287">
            <v>1.6339999999999999</v>
          </cell>
          <cell r="BM287">
            <v>1.627</v>
          </cell>
          <cell r="BN287">
            <v>1.621</v>
          </cell>
          <cell r="BO287">
            <v>1.6160000000000001</v>
          </cell>
          <cell r="BP287">
            <v>1.613</v>
          </cell>
          <cell r="BQ287">
            <v>1.61</v>
          </cell>
          <cell r="BR287">
            <v>1.61</v>
          </cell>
          <cell r="BS287">
            <v>1.61</v>
          </cell>
        </row>
        <row r="288">
          <cell r="E288">
            <v>882</v>
          </cell>
          <cell r="F288">
            <v>82.102000000000004</v>
          </cell>
          <cell r="G288">
            <v>84.438999999999993</v>
          </cell>
          <cell r="H288">
            <v>86.817999999999998</v>
          </cell>
          <cell r="I288">
            <v>89.234999999999999</v>
          </cell>
          <cell r="J288">
            <v>91.694999999999993</v>
          </cell>
          <cell r="K288">
            <v>94.209000000000003</v>
          </cell>
          <cell r="L288">
            <v>96.801000000000002</v>
          </cell>
          <cell r="M288">
            <v>99.503</v>
          </cell>
          <cell r="N288">
            <v>102.352</v>
          </cell>
          <cell r="O288">
            <v>105.39100000000001</v>
          </cell>
          <cell r="P288">
            <v>108.645</v>
          </cell>
          <cell r="Q288">
            <v>112.121</v>
          </cell>
          <cell r="R288">
            <v>115.786</v>
          </cell>
          <cell r="S288">
            <v>119.56399999999999</v>
          </cell>
          <cell r="T288">
            <v>123.354</v>
          </cell>
          <cell r="U288">
            <v>127.068</v>
          </cell>
          <cell r="V288">
            <v>130.68700000000001</v>
          </cell>
          <cell r="W288">
            <v>134.19399999999999</v>
          </cell>
          <cell r="X288">
            <v>137.50299999999999</v>
          </cell>
          <cell r="Y288">
            <v>140.52000000000001</v>
          </cell>
          <cell r="Z288">
            <v>143.17500000000001</v>
          </cell>
          <cell r="AA288">
            <v>145.43700000000001</v>
          </cell>
          <cell r="AB288">
            <v>147.32300000000001</v>
          </cell>
          <cell r="AC288">
            <v>148.88900000000001</v>
          </cell>
          <cell r="AD288">
            <v>150.21899999999999</v>
          </cell>
          <cell r="AE288">
            <v>151.38300000000001</v>
          </cell>
          <cell r="AF288">
            <v>152.38999999999999</v>
          </cell>
          <cell r="AG288">
            <v>153.244</v>
          </cell>
          <cell r="AH288">
            <v>154.01</v>
          </cell>
          <cell r="AI288">
            <v>154.76300000000001</v>
          </cell>
          <cell r="AJ288">
            <v>155.554</v>
          </cell>
          <cell r="AK288">
            <v>156.435</v>
          </cell>
          <cell r="AL288">
            <v>157.40100000000001</v>
          </cell>
          <cell r="AM288">
            <v>158.38300000000001</v>
          </cell>
          <cell r="AN288">
            <v>159.28100000000001</v>
          </cell>
          <cell r="AO288">
            <v>160.03</v>
          </cell>
          <cell r="AP288">
            <v>160.59100000000001</v>
          </cell>
          <cell r="AQ288">
            <v>161.01400000000001</v>
          </cell>
          <cell r="AR288">
            <v>161.42400000000001</v>
          </cell>
          <cell r="AS288">
            <v>162.001</v>
          </cell>
          <cell r="AT288">
            <v>162.86500000000001</v>
          </cell>
          <cell r="AU288">
            <v>164.07300000000001</v>
          </cell>
          <cell r="AV288">
            <v>165.56800000000001</v>
          </cell>
          <cell r="AW288">
            <v>167.20599999999999</v>
          </cell>
          <cell r="AX288">
            <v>168.786</v>
          </cell>
          <cell r="AY288">
            <v>170.15799999999999</v>
          </cell>
          <cell r="AZ288">
            <v>171.27600000000001</v>
          </cell>
          <cell r="BA288">
            <v>172.191</v>
          </cell>
          <cell r="BB288">
            <v>172.97900000000001</v>
          </cell>
          <cell r="BC288">
            <v>173.75800000000001</v>
          </cell>
          <cell r="BD288">
            <v>174.614</v>
          </cell>
          <cell r="BE288">
            <v>175.56700000000001</v>
          </cell>
          <cell r="BF288">
            <v>176.59200000000001</v>
          </cell>
          <cell r="BG288">
            <v>177.67699999999999</v>
          </cell>
          <cell r="BH288">
            <v>178.79400000000001</v>
          </cell>
          <cell r="BI288">
            <v>179.928</v>
          </cell>
          <cell r="BJ288">
            <v>181.072</v>
          </cell>
          <cell r="BK288">
            <v>182.238</v>
          </cell>
          <cell r="BL288">
            <v>183.44</v>
          </cell>
          <cell r="BM288">
            <v>184.7</v>
          </cell>
          <cell r="BN288">
            <v>186.029</v>
          </cell>
          <cell r="BO288">
            <v>187.434</v>
          </cell>
          <cell r="BP288">
            <v>188.90100000000001</v>
          </cell>
          <cell r="BQ288">
            <v>190.39</v>
          </cell>
          <cell r="BR288">
            <v>191.845</v>
          </cell>
          <cell r="BS288">
            <v>193.22800000000001</v>
          </cell>
        </row>
        <row r="289">
          <cell r="E289">
            <v>772</v>
          </cell>
          <cell r="F289">
            <v>1.57</v>
          </cell>
          <cell r="G289">
            <v>1.516</v>
          </cell>
          <cell r="H289">
            <v>1.504</v>
          </cell>
          <cell r="I289">
            <v>1.522</v>
          </cell>
          <cell r="J289">
            <v>1.56</v>
          </cell>
          <cell r="K289">
            <v>1.61</v>
          </cell>
          <cell r="L289">
            <v>1.6659999999999999</v>
          </cell>
          <cell r="M289">
            <v>1.7230000000000001</v>
          </cell>
          <cell r="N289">
            <v>1.778</v>
          </cell>
          <cell r="O289">
            <v>1.8280000000000001</v>
          </cell>
          <cell r="P289">
            <v>1.873</v>
          </cell>
          <cell r="Q289">
            <v>1.91</v>
          </cell>
          <cell r="R289">
            <v>1.9379999999999999</v>
          </cell>
          <cell r="S289">
            <v>1.9510000000000001</v>
          </cell>
          <cell r="T289">
            <v>1.948</v>
          </cell>
          <cell r="U289">
            <v>1.9239999999999999</v>
          </cell>
          <cell r="V289">
            <v>1.8779999999999999</v>
          </cell>
          <cell r="W289">
            <v>1.8129999999999999</v>
          </cell>
          <cell r="X289">
            <v>1.7390000000000001</v>
          </cell>
          <cell r="Y289">
            <v>1.67</v>
          </cell>
          <cell r="Z289">
            <v>1.6180000000000001</v>
          </cell>
          <cell r="AA289">
            <v>1.587</v>
          </cell>
          <cell r="AB289">
            <v>1.5740000000000001</v>
          </cell>
          <cell r="AC289">
            <v>1.5740000000000001</v>
          </cell>
          <cell r="AD289">
            <v>1.5760000000000001</v>
          </cell>
          <cell r="AE289">
            <v>1.5740000000000001</v>
          </cell>
          <cell r="AF289">
            <v>1.5660000000000001</v>
          </cell>
          <cell r="AG289">
            <v>1.554</v>
          </cell>
          <cell r="AH289">
            <v>1.544</v>
          </cell>
          <cell r="AI289">
            <v>1.542</v>
          </cell>
          <cell r="AJ289">
            <v>1.5529999999999999</v>
          </cell>
          <cell r="AK289">
            <v>1.58</v>
          </cell>
          <cell r="AL289">
            <v>1.6180000000000001</v>
          </cell>
          <cell r="AM289">
            <v>1.66</v>
          </cell>
          <cell r="AN289">
            <v>1.694</v>
          </cell>
          <cell r="AO289">
            <v>1.7130000000000001</v>
          </cell>
          <cell r="AP289">
            <v>1.712</v>
          </cell>
          <cell r="AQ289">
            <v>1.696</v>
          </cell>
          <cell r="AR289">
            <v>1.669</v>
          </cell>
          <cell r="AS289">
            <v>1.637</v>
          </cell>
          <cell r="AT289">
            <v>1.609</v>
          </cell>
          <cell r="AU289">
            <v>1.583</v>
          </cell>
          <cell r="AV289">
            <v>1.5580000000000001</v>
          </cell>
          <cell r="AW289">
            <v>1.538</v>
          </cell>
          <cell r="AX289">
            <v>1.524</v>
          </cell>
          <cell r="AY289">
            <v>1.52</v>
          </cell>
          <cell r="AZ289">
            <v>1.5289999999999999</v>
          </cell>
          <cell r="BA289">
            <v>1.548</v>
          </cell>
          <cell r="BB289">
            <v>1.5660000000000001</v>
          </cell>
          <cell r="BC289">
            <v>1.571</v>
          </cell>
          <cell r="BD289">
            <v>1.552</v>
          </cell>
          <cell r="BE289">
            <v>1.504</v>
          </cell>
          <cell r="BF289">
            <v>1.4339999999999999</v>
          </cell>
          <cell r="BG289">
            <v>1.351</v>
          </cell>
          <cell r="BH289">
            <v>1.272</v>
          </cell>
          <cell r="BI289">
            <v>1.21</v>
          </cell>
          <cell r="BJ289">
            <v>1.167</v>
          </cell>
          <cell r="BK289">
            <v>1.141</v>
          </cell>
          <cell r="BL289">
            <v>1.1299999999999999</v>
          </cell>
          <cell r="BM289">
            <v>1.129</v>
          </cell>
          <cell r="BN289">
            <v>1.135</v>
          </cell>
          <cell r="BO289">
            <v>1.1479999999999999</v>
          </cell>
          <cell r="BP289">
            <v>1.169</v>
          </cell>
          <cell r="BQ289">
            <v>1.1950000000000001</v>
          </cell>
          <cell r="BR289">
            <v>1.2230000000000001</v>
          </cell>
          <cell r="BS289">
            <v>1.25</v>
          </cell>
        </row>
        <row r="290">
          <cell r="E290">
            <v>776</v>
          </cell>
          <cell r="F290">
            <v>47.22</v>
          </cell>
          <cell r="G290">
            <v>49.311</v>
          </cell>
          <cell r="H290">
            <v>51.170999999999999</v>
          </cell>
          <cell r="I290">
            <v>52.783999999999999</v>
          </cell>
          <cell r="J290">
            <v>54.154000000000003</v>
          </cell>
          <cell r="K290">
            <v>55.323999999999998</v>
          </cell>
          <cell r="L290">
            <v>56.366</v>
          </cell>
          <cell r="M290">
            <v>57.386000000000003</v>
          </cell>
          <cell r="N290">
            <v>58.508000000000003</v>
          </cell>
          <cell r="O290">
            <v>59.874000000000002</v>
          </cell>
          <cell r="P290">
            <v>61.6</v>
          </cell>
          <cell r="Q290">
            <v>63.74</v>
          </cell>
          <cell r="R290">
            <v>66.254999999999995</v>
          </cell>
          <cell r="S290">
            <v>69</v>
          </cell>
          <cell r="T290">
            <v>71.757000000000005</v>
          </cell>
          <cell r="U290">
            <v>74.363</v>
          </cell>
          <cell r="V290">
            <v>76.787000000000006</v>
          </cell>
          <cell r="W290">
            <v>79.048000000000002</v>
          </cell>
          <cell r="X290">
            <v>81.096000000000004</v>
          </cell>
          <cell r="Y290">
            <v>82.879000000000005</v>
          </cell>
          <cell r="Z290">
            <v>84.37</v>
          </cell>
          <cell r="AA290">
            <v>85.52</v>
          </cell>
          <cell r="AB290">
            <v>86.349000000000004</v>
          </cell>
          <cell r="AC290">
            <v>86.984999999999999</v>
          </cell>
          <cell r="AD290">
            <v>87.608999999999995</v>
          </cell>
          <cell r="AE290">
            <v>88.346999999999994</v>
          </cell>
          <cell r="AF290">
            <v>89.257999999999996</v>
          </cell>
          <cell r="AG290">
            <v>90.296000000000006</v>
          </cell>
          <cell r="AH290">
            <v>91.36</v>
          </cell>
          <cell r="AI290">
            <v>92.299000000000007</v>
          </cell>
          <cell r="AJ290">
            <v>93.007000000000005</v>
          </cell>
          <cell r="AK290">
            <v>93.451999999999998</v>
          </cell>
          <cell r="AL290">
            <v>93.683000000000007</v>
          </cell>
          <cell r="AM290">
            <v>93.775000000000006</v>
          </cell>
          <cell r="AN290">
            <v>93.837999999999994</v>
          </cell>
          <cell r="AO290">
            <v>93.953000000000003</v>
          </cell>
          <cell r="AP290">
            <v>94.147000000000006</v>
          </cell>
          <cell r="AQ290">
            <v>94.399000000000001</v>
          </cell>
          <cell r="AR290">
            <v>94.68</v>
          </cell>
          <cell r="AS290">
            <v>94.942999999999998</v>
          </cell>
          <cell r="AT290">
            <v>95.152000000000001</v>
          </cell>
          <cell r="AU290">
            <v>95.304000000000002</v>
          </cell>
          <cell r="AV290">
            <v>95.421000000000006</v>
          </cell>
          <cell r="AW290">
            <v>95.531999999999996</v>
          </cell>
          <cell r="AX290">
            <v>95.677999999999997</v>
          </cell>
          <cell r="AY290">
            <v>95.888999999999996</v>
          </cell>
          <cell r="AZ290">
            <v>96.174000000000007</v>
          </cell>
          <cell r="BA290">
            <v>96.525999999999996</v>
          </cell>
          <cell r="BB290">
            <v>96.936999999999998</v>
          </cell>
          <cell r="BC290">
            <v>97.397999999999996</v>
          </cell>
          <cell r="BD290">
            <v>97.897999999999996</v>
          </cell>
          <cell r="BE290">
            <v>98.433999999999997</v>
          </cell>
          <cell r="BF290">
            <v>99.004999999999995</v>
          </cell>
          <cell r="BG290">
            <v>99.605999999999995</v>
          </cell>
          <cell r="BH290">
            <v>100.226</v>
          </cell>
          <cell r="BI290">
            <v>100.858</v>
          </cell>
          <cell r="BJ290">
            <v>101.50700000000001</v>
          </cell>
          <cell r="BK290">
            <v>102.169</v>
          </cell>
          <cell r="BL290">
            <v>102.816</v>
          </cell>
          <cell r="BM290">
            <v>103.416</v>
          </cell>
          <cell r="BN290">
            <v>103.947</v>
          </cell>
          <cell r="BO290">
            <v>104.392</v>
          </cell>
          <cell r="BP290">
            <v>104.76900000000001</v>
          </cell>
          <cell r="BQ290">
            <v>105.139</v>
          </cell>
          <cell r="BR290">
            <v>105.586</v>
          </cell>
          <cell r="BS290">
            <v>106.17</v>
          </cell>
        </row>
        <row r="291">
          <cell r="E291">
            <v>798</v>
          </cell>
          <cell r="F291">
            <v>5.1660000000000004</v>
          </cell>
          <cell r="G291">
            <v>5.2210000000000001</v>
          </cell>
          <cell r="H291">
            <v>5.2939999999999996</v>
          </cell>
          <cell r="I291">
            <v>5.3780000000000001</v>
          </cell>
          <cell r="J291">
            <v>5.468</v>
          </cell>
          <cell r="K291">
            <v>5.5620000000000003</v>
          </cell>
          <cell r="L291">
            <v>5.6580000000000004</v>
          </cell>
          <cell r="M291">
            <v>5.758</v>
          </cell>
          <cell r="N291">
            <v>5.8630000000000004</v>
          </cell>
          <cell r="O291">
            <v>5.9779999999999998</v>
          </cell>
          <cell r="P291">
            <v>6.1040000000000001</v>
          </cell>
          <cell r="Q291">
            <v>6.242</v>
          </cell>
          <cell r="R291">
            <v>6.391</v>
          </cell>
          <cell r="S291">
            <v>6.5419999999999998</v>
          </cell>
          <cell r="T291">
            <v>6.6870000000000003</v>
          </cell>
          <cell r="U291">
            <v>6.819</v>
          </cell>
          <cell r="V291">
            <v>6.9349999999999996</v>
          </cell>
          <cell r="W291">
            <v>7.0369999999999999</v>
          </cell>
          <cell r="X291">
            <v>7.1280000000000001</v>
          </cell>
          <cell r="Y291">
            <v>7.2130000000000001</v>
          </cell>
          <cell r="Z291">
            <v>7.2960000000000003</v>
          </cell>
          <cell r="AA291">
            <v>7.3789999999999996</v>
          </cell>
          <cell r="AB291">
            <v>7.4589999999999996</v>
          </cell>
          <cell r="AC291">
            <v>7.5380000000000003</v>
          </cell>
          <cell r="AD291">
            <v>7.6130000000000004</v>
          </cell>
          <cell r="AE291">
            <v>7.6849999999999996</v>
          </cell>
          <cell r="AF291">
            <v>7.7519999999999998</v>
          </cell>
          <cell r="AG291">
            <v>7.8159999999999998</v>
          </cell>
          <cell r="AH291">
            <v>7.883</v>
          </cell>
          <cell r="AI291">
            <v>7.9589999999999996</v>
          </cell>
          <cell r="AJ291">
            <v>8.0510000000000002</v>
          </cell>
          <cell r="AK291">
            <v>8.16</v>
          </cell>
          <cell r="AL291">
            <v>8.2840000000000007</v>
          </cell>
          <cell r="AM291">
            <v>8.4130000000000003</v>
          </cell>
          <cell r="AN291">
            <v>8.5370000000000008</v>
          </cell>
          <cell r="AO291">
            <v>8.6479999999999997</v>
          </cell>
          <cell r="AP291">
            <v>8.7409999999999997</v>
          </cell>
          <cell r="AQ291">
            <v>8.8209999999999997</v>
          </cell>
          <cell r="AR291">
            <v>8.8889999999999993</v>
          </cell>
          <cell r="AS291">
            <v>8.9489999999999998</v>
          </cell>
          <cell r="AT291">
            <v>9.0039999999999996</v>
          </cell>
          <cell r="AU291">
            <v>9.0559999999999992</v>
          </cell>
          <cell r="AV291">
            <v>9.1029999999999998</v>
          </cell>
          <cell r="AW291">
            <v>9.1479999999999997</v>
          </cell>
          <cell r="AX291">
            <v>9.1880000000000006</v>
          </cell>
          <cell r="AY291">
            <v>9.2270000000000003</v>
          </cell>
          <cell r="AZ291">
            <v>9.2639999999999993</v>
          </cell>
          <cell r="BA291">
            <v>9.298</v>
          </cell>
          <cell r="BB291">
            <v>9.3339999999999996</v>
          </cell>
          <cell r="BC291">
            <v>9.3740000000000006</v>
          </cell>
          <cell r="BD291">
            <v>9.4190000000000005</v>
          </cell>
          <cell r="BE291">
            <v>9.4710000000000001</v>
          </cell>
          <cell r="BF291">
            <v>9.5299999999999994</v>
          </cell>
          <cell r="BG291">
            <v>9.59</v>
          </cell>
          <cell r="BH291">
            <v>9.6460000000000008</v>
          </cell>
          <cell r="BI291">
            <v>9.6940000000000008</v>
          </cell>
          <cell r="BJ291">
            <v>9.7319999999999993</v>
          </cell>
          <cell r="BK291">
            <v>9.7639999999999993</v>
          </cell>
          <cell r="BL291">
            <v>9.7880000000000003</v>
          </cell>
          <cell r="BM291">
            <v>9.8079999999999998</v>
          </cell>
          <cell r="BN291">
            <v>9.827</v>
          </cell>
          <cell r="BO291">
            <v>9.8439999999999994</v>
          </cell>
          <cell r="BP291">
            <v>9.86</v>
          </cell>
          <cell r="BQ291">
            <v>9.8759999999999994</v>
          </cell>
          <cell r="BR291">
            <v>9.8930000000000007</v>
          </cell>
          <cell r="BS291">
            <v>9.9160000000000004</v>
          </cell>
        </row>
        <row r="292">
          <cell r="E292">
            <v>876</v>
          </cell>
          <cell r="F292">
            <v>7.0019999999999998</v>
          </cell>
          <cell r="G292">
            <v>7.0880000000000001</v>
          </cell>
          <cell r="H292">
            <v>7.2380000000000004</v>
          </cell>
          <cell r="I292">
            <v>7.42</v>
          </cell>
          <cell r="J292">
            <v>7.6109999999999998</v>
          </cell>
          <cell r="K292">
            <v>7.7949999999999999</v>
          </cell>
          <cell r="L292">
            <v>7.9649999999999999</v>
          </cell>
          <cell r="M292">
            <v>8.1189999999999998</v>
          </cell>
          <cell r="N292">
            <v>8.2620000000000005</v>
          </cell>
          <cell r="O292">
            <v>8.407</v>
          </cell>
          <cell r="P292">
            <v>8.5619999999999994</v>
          </cell>
          <cell r="Q292">
            <v>8.73</v>
          </cell>
          <cell r="R292">
            <v>8.9030000000000005</v>
          </cell>
          <cell r="S292">
            <v>9.06</v>
          </cell>
          <cell r="T292">
            <v>9.173</v>
          </cell>
          <cell r="U292">
            <v>9.2230000000000008</v>
          </cell>
          <cell r="V292">
            <v>9.2050000000000001</v>
          </cell>
          <cell r="W292">
            <v>9.1319999999999997</v>
          </cell>
          <cell r="X292">
            <v>9.0250000000000004</v>
          </cell>
          <cell r="Y292">
            <v>8.92</v>
          </cell>
          <cell r="Z292">
            <v>8.84</v>
          </cell>
          <cell r="AA292">
            <v>8.7919999999999998</v>
          </cell>
          <cell r="AB292">
            <v>8.7739999999999991</v>
          </cell>
          <cell r="AC292">
            <v>8.8089999999999993</v>
          </cell>
          <cell r="AD292">
            <v>8.9190000000000005</v>
          </cell>
          <cell r="AE292">
            <v>9.1180000000000003</v>
          </cell>
          <cell r="AF292">
            <v>9.4120000000000008</v>
          </cell>
          <cell r="AG292">
            <v>9.7929999999999993</v>
          </cell>
          <cell r="AH292">
            <v>10.241</v>
          </cell>
          <cell r="AI292">
            <v>10.728</v>
          </cell>
          <cell r="AJ292">
            <v>11.231999999999999</v>
          </cell>
          <cell r="AK292">
            <v>11.750999999999999</v>
          </cell>
          <cell r="AL292">
            <v>12.279</v>
          </cell>
          <cell r="AM292">
            <v>12.778</v>
          </cell>
          <cell r="AN292">
            <v>13.207000000000001</v>
          </cell>
          <cell r="AO292">
            <v>13.534000000000001</v>
          </cell>
          <cell r="AP292">
            <v>13.742000000000001</v>
          </cell>
          <cell r="AQ292">
            <v>13.842000000000001</v>
          </cell>
          <cell r="AR292">
            <v>13.868</v>
          </cell>
          <cell r="AS292">
            <v>13.868</v>
          </cell>
          <cell r="AT292">
            <v>13.88</v>
          </cell>
          <cell r="AU292">
            <v>13.912000000000001</v>
          </cell>
          <cell r="AV292">
            <v>13.955</v>
          </cell>
          <cell r="AW292">
            <v>14.01</v>
          </cell>
          <cell r="AX292">
            <v>14.074</v>
          </cell>
          <cell r="AY292">
            <v>14.143000000000001</v>
          </cell>
          <cell r="AZ292">
            <v>14.221</v>
          </cell>
          <cell r="BA292">
            <v>14.308999999999999</v>
          </cell>
          <cell r="BB292">
            <v>14.394</v>
          </cell>
          <cell r="BC292">
            <v>14.46</v>
          </cell>
          <cell r="BD292">
            <v>14.497</v>
          </cell>
          <cell r="BE292">
            <v>14.500999999999999</v>
          </cell>
          <cell r="BF292">
            <v>14.476000000000001</v>
          </cell>
          <cell r="BG292">
            <v>14.422000000000001</v>
          </cell>
          <cell r="BH292">
            <v>14.343999999999999</v>
          </cell>
          <cell r="BI292">
            <v>14.246</v>
          </cell>
          <cell r="BJ292">
            <v>14.125999999999999</v>
          </cell>
          <cell r="BK292">
            <v>13.988</v>
          </cell>
          <cell r="BL292">
            <v>13.840999999999999</v>
          </cell>
          <cell r="BM292">
            <v>13.696999999999999</v>
          </cell>
          <cell r="BN292">
            <v>13.565</v>
          </cell>
          <cell r="BO292">
            <v>13.45</v>
          </cell>
          <cell r="BP292">
            <v>13.352</v>
          </cell>
          <cell r="BQ292">
            <v>13.27</v>
          </cell>
          <cell r="BR292">
            <v>13.204000000000001</v>
          </cell>
          <cell r="BS292">
            <v>13.151</v>
          </cell>
        </row>
      </sheetData>
      <sheetData sheetId="23">
        <row r="12">
          <cell r="C12">
            <v>33145</v>
          </cell>
        </row>
        <row r="18">
          <cell r="C18">
            <v>32.689</v>
          </cell>
        </row>
        <row r="19">
          <cell r="C19">
            <v>290</v>
          </cell>
        </row>
        <row r="22">
          <cell r="B22" t="str">
            <v>All</v>
          </cell>
          <cell r="C22">
            <v>33145</v>
          </cell>
          <cell r="D22">
            <v>33145</v>
          </cell>
          <cell r="E22">
            <v>33145</v>
          </cell>
          <cell r="F22">
            <v>33145</v>
          </cell>
          <cell r="G22">
            <v>33145</v>
          </cell>
          <cell r="H22">
            <v>33145</v>
          </cell>
          <cell r="I22">
            <v>33145</v>
          </cell>
          <cell r="J22">
            <v>33145</v>
          </cell>
          <cell r="K22">
            <v>33145</v>
          </cell>
          <cell r="L22">
            <v>33145</v>
          </cell>
          <cell r="M22">
            <v>33145</v>
          </cell>
        </row>
        <row r="23">
          <cell r="B23" t="str">
            <v>Direct entry</v>
          </cell>
          <cell r="C23">
            <v>1</v>
          </cell>
          <cell r="D23">
            <v>1</v>
          </cell>
          <cell r="E23">
            <v>1</v>
          </cell>
          <cell r="F23">
            <v>1</v>
          </cell>
          <cell r="G23">
            <v>1</v>
          </cell>
          <cell r="H23">
            <v>1</v>
          </cell>
          <cell r="I23">
            <v>1</v>
          </cell>
          <cell r="J23">
            <v>1</v>
          </cell>
          <cell r="K23">
            <v>1</v>
          </cell>
          <cell r="L23">
            <v>1</v>
          </cell>
          <cell r="M23">
            <v>1</v>
          </cell>
        </row>
        <row r="24">
          <cell r="B24" t="str">
            <v>Community</v>
          </cell>
          <cell r="C24">
            <v>48.036231884057969</v>
          </cell>
          <cell r="D24">
            <v>48.036231884057969</v>
          </cell>
          <cell r="E24">
            <v>48.036231884057969</v>
          </cell>
          <cell r="F24">
            <v>48.036231884057969</v>
          </cell>
          <cell r="G24">
            <v>48.036231884057969</v>
          </cell>
          <cell r="H24">
            <v>48.036231884057969</v>
          </cell>
          <cell r="I24">
            <v>48.036231884057969</v>
          </cell>
          <cell r="J24">
            <v>48.036231884057969</v>
          </cell>
          <cell r="K24">
            <v>48.036231884057969</v>
          </cell>
          <cell r="L24">
            <v>48.036231884057969</v>
          </cell>
          <cell r="M24">
            <v>48.036231884057969</v>
          </cell>
        </row>
        <row r="25">
          <cell r="B25" t="e">
            <v>#REF!</v>
          </cell>
          <cell r="C25" t="e">
            <v>#REF!</v>
          </cell>
          <cell r="D25" t="e">
            <v>#REF!</v>
          </cell>
          <cell r="E25" t="e">
            <v>#REF!</v>
          </cell>
          <cell r="F25" t="e">
            <v>#REF!</v>
          </cell>
          <cell r="G25" t="e">
            <v>#REF!</v>
          </cell>
          <cell r="H25" t="e">
            <v>#REF!</v>
          </cell>
          <cell r="I25" t="e">
            <v>#REF!</v>
          </cell>
          <cell r="J25" t="e">
            <v>#REF!</v>
          </cell>
          <cell r="K25" t="e">
            <v>#REF!</v>
          </cell>
          <cell r="L25" t="e">
            <v>#REF!</v>
          </cell>
          <cell r="M25" t="e">
            <v>#REF!</v>
          </cell>
        </row>
        <row r="26">
          <cell r="B26" t="str">
            <v>Household</v>
          </cell>
          <cell r="C26">
            <v>7205.434782608696</v>
          </cell>
          <cell r="D26">
            <v>7205.434782608696</v>
          </cell>
          <cell r="E26">
            <v>7205.434782608696</v>
          </cell>
          <cell r="F26">
            <v>7205.434782608696</v>
          </cell>
          <cell r="G26">
            <v>7205.434782608696</v>
          </cell>
          <cell r="H26">
            <v>7205.434782608696</v>
          </cell>
          <cell r="I26">
            <v>7205.434782608696</v>
          </cell>
          <cell r="J26">
            <v>7205.434782608696</v>
          </cell>
          <cell r="K26">
            <v>7205.434782608696</v>
          </cell>
          <cell r="L26">
            <v>7205.434782608696</v>
          </cell>
          <cell r="M26">
            <v>7205.434782608696</v>
          </cell>
        </row>
        <row r="27">
          <cell r="B27" t="str">
            <v>All Male</v>
          </cell>
          <cell r="C27">
            <v>15872</v>
          </cell>
          <cell r="D27">
            <v>15872</v>
          </cell>
          <cell r="E27">
            <v>15872</v>
          </cell>
          <cell r="F27">
            <v>15872</v>
          </cell>
          <cell r="G27">
            <v>15872</v>
          </cell>
          <cell r="H27">
            <v>15872</v>
          </cell>
          <cell r="I27">
            <v>15872</v>
          </cell>
          <cell r="J27">
            <v>15872</v>
          </cell>
          <cell r="K27">
            <v>15872</v>
          </cell>
          <cell r="L27">
            <v>15872</v>
          </cell>
          <cell r="M27">
            <v>15872</v>
          </cell>
        </row>
        <row r="28">
          <cell r="B28" t="str">
            <v>All Female</v>
          </cell>
          <cell r="C28">
            <v>17273</v>
          </cell>
          <cell r="D28">
            <v>17273</v>
          </cell>
          <cell r="E28">
            <v>17273</v>
          </cell>
          <cell r="F28">
            <v>17273</v>
          </cell>
          <cell r="G28">
            <v>17273</v>
          </cell>
          <cell r="H28">
            <v>17273</v>
          </cell>
          <cell r="I28">
            <v>17273</v>
          </cell>
          <cell r="J28">
            <v>17273</v>
          </cell>
          <cell r="K28">
            <v>17273</v>
          </cell>
          <cell r="L28">
            <v>17273</v>
          </cell>
          <cell r="M28">
            <v>17273</v>
          </cell>
        </row>
        <row r="29">
          <cell r="B29" t="str">
            <v>Children &lt;1</v>
          </cell>
          <cell r="C29">
            <v>1899</v>
          </cell>
          <cell r="D29">
            <v>1899</v>
          </cell>
          <cell r="E29">
            <v>1899</v>
          </cell>
          <cell r="F29">
            <v>1899</v>
          </cell>
          <cell r="G29">
            <v>1899</v>
          </cell>
          <cell r="H29">
            <v>1899</v>
          </cell>
          <cell r="I29">
            <v>1899</v>
          </cell>
          <cell r="J29">
            <v>1899</v>
          </cell>
          <cell r="K29">
            <v>1899</v>
          </cell>
          <cell r="L29">
            <v>1899</v>
          </cell>
          <cell r="M29">
            <v>1899</v>
          </cell>
        </row>
        <row r="30">
          <cell r="B30" t="str">
            <v>Children 2-59 months</v>
          </cell>
          <cell r="C30">
            <v>4678</v>
          </cell>
          <cell r="D30">
            <v>4678</v>
          </cell>
          <cell r="E30">
            <v>4678</v>
          </cell>
          <cell r="F30">
            <v>4678</v>
          </cell>
          <cell r="G30">
            <v>4678</v>
          </cell>
          <cell r="H30">
            <v>4678</v>
          </cell>
          <cell r="I30">
            <v>4678</v>
          </cell>
          <cell r="J30">
            <v>4678</v>
          </cell>
          <cell r="K30">
            <v>4678</v>
          </cell>
          <cell r="L30">
            <v>4678</v>
          </cell>
          <cell r="M30">
            <v>4678</v>
          </cell>
        </row>
        <row r="31">
          <cell r="B31" t="str">
            <v>Children 6-59 months</v>
          </cell>
          <cell r="C31">
            <v>4355</v>
          </cell>
          <cell r="D31">
            <v>4355</v>
          </cell>
          <cell r="E31">
            <v>4355</v>
          </cell>
          <cell r="F31">
            <v>4355</v>
          </cell>
          <cell r="G31">
            <v>4355</v>
          </cell>
          <cell r="H31">
            <v>4355</v>
          </cell>
          <cell r="I31">
            <v>4355</v>
          </cell>
          <cell r="J31">
            <v>4355</v>
          </cell>
          <cell r="K31">
            <v>4355</v>
          </cell>
          <cell r="L31">
            <v>4355</v>
          </cell>
          <cell r="M31">
            <v>4355</v>
          </cell>
        </row>
        <row r="32">
          <cell r="B32" t="str">
            <v>Children &gt;1 to &lt;5</v>
          </cell>
          <cell r="C32">
            <v>2939</v>
          </cell>
          <cell r="D32">
            <v>2939</v>
          </cell>
          <cell r="E32">
            <v>2939</v>
          </cell>
          <cell r="F32">
            <v>2939</v>
          </cell>
          <cell r="G32">
            <v>2939</v>
          </cell>
          <cell r="H32">
            <v>2939</v>
          </cell>
          <cell r="I32">
            <v>2939</v>
          </cell>
          <cell r="J32">
            <v>2939</v>
          </cell>
          <cell r="K32">
            <v>2939</v>
          </cell>
          <cell r="L32">
            <v>2939</v>
          </cell>
          <cell r="M32">
            <v>2939</v>
          </cell>
        </row>
        <row r="33">
          <cell r="B33" t="str">
            <v>Children &lt;5</v>
          </cell>
          <cell r="C33">
            <v>4839</v>
          </cell>
          <cell r="D33">
            <v>4839</v>
          </cell>
          <cell r="E33">
            <v>4839</v>
          </cell>
          <cell r="F33">
            <v>4839</v>
          </cell>
          <cell r="G33">
            <v>4839</v>
          </cell>
          <cell r="H33">
            <v>4839</v>
          </cell>
          <cell r="I33">
            <v>4839</v>
          </cell>
          <cell r="J33">
            <v>4839</v>
          </cell>
          <cell r="K33">
            <v>4839</v>
          </cell>
          <cell r="L33">
            <v>4839</v>
          </cell>
          <cell r="M33">
            <v>4839</v>
          </cell>
        </row>
        <row r="34">
          <cell r="B34" t="str">
            <v>Children &lt;15</v>
          </cell>
          <cell r="C34">
            <v>10157</v>
          </cell>
          <cell r="D34">
            <v>10157</v>
          </cell>
          <cell r="E34">
            <v>10157</v>
          </cell>
          <cell r="F34">
            <v>10157</v>
          </cell>
          <cell r="G34">
            <v>10157</v>
          </cell>
          <cell r="H34">
            <v>10157</v>
          </cell>
          <cell r="I34">
            <v>10157</v>
          </cell>
          <cell r="J34">
            <v>10157</v>
          </cell>
          <cell r="K34">
            <v>10157</v>
          </cell>
          <cell r="L34">
            <v>10157</v>
          </cell>
          <cell r="M34">
            <v>10157</v>
          </cell>
        </row>
        <row r="35">
          <cell r="B35" t="str">
            <v>Adolescents 10-19</v>
          </cell>
          <cell r="C35">
            <v>7581</v>
          </cell>
          <cell r="D35">
            <v>7581</v>
          </cell>
          <cell r="E35">
            <v>7581</v>
          </cell>
          <cell r="F35">
            <v>7581</v>
          </cell>
          <cell r="G35">
            <v>7581</v>
          </cell>
          <cell r="H35">
            <v>7581</v>
          </cell>
          <cell r="I35">
            <v>7581</v>
          </cell>
          <cell r="J35">
            <v>7581</v>
          </cell>
          <cell r="K35">
            <v>7581</v>
          </cell>
          <cell r="L35">
            <v>7581</v>
          </cell>
          <cell r="M35">
            <v>7581</v>
          </cell>
        </row>
        <row r="36">
          <cell r="B36" t="str">
            <v>Youth 15-24</v>
          </cell>
          <cell r="C36">
            <v>6394</v>
          </cell>
          <cell r="D36">
            <v>6394</v>
          </cell>
          <cell r="E36">
            <v>6394</v>
          </cell>
          <cell r="F36">
            <v>6394</v>
          </cell>
          <cell r="G36">
            <v>6394</v>
          </cell>
          <cell r="H36">
            <v>6394</v>
          </cell>
          <cell r="I36">
            <v>6394</v>
          </cell>
          <cell r="J36">
            <v>6394</v>
          </cell>
          <cell r="K36">
            <v>6394</v>
          </cell>
          <cell r="L36">
            <v>6394</v>
          </cell>
          <cell r="M36">
            <v>6394</v>
          </cell>
        </row>
        <row r="37">
          <cell r="B37" t="str">
            <v>Adults &gt;5</v>
          </cell>
          <cell r="C37">
            <v>28306</v>
          </cell>
          <cell r="D37">
            <v>28306</v>
          </cell>
          <cell r="E37">
            <v>28306</v>
          </cell>
          <cell r="F37">
            <v>28306</v>
          </cell>
          <cell r="G37">
            <v>28306</v>
          </cell>
          <cell r="H37">
            <v>28306</v>
          </cell>
          <cell r="I37">
            <v>28306</v>
          </cell>
          <cell r="J37">
            <v>28306</v>
          </cell>
          <cell r="K37">
            <v>28306</v>
          </cell>
          <cell r="L37">
            <v>28306</v>
          </cell>
          <cell r="M37">
            <v>28306</v>
          </cell>
        </row>
        <row r="38">
          <cell r="B38" t="str">
            <v>Adults &gt;15</v>
          </cell>
          <cell r="C38">
            <v>19538</v>
          </cell>
          <cell r="D38">
            <v>19538</v>
          </cell>
          <cell r="E38">
            <v>19538</v>
          </cell>
          <cell r="F38">
            <v>19538</v>
          </cell>
          <cell r="G38">
            <v>19538</v>
          </cell>
          <cell r="H38">
            <v>19538</v>
          </cell>
          <cell r="I38">
            <v>19538</v>
          </cell>
          <cell r="J38">
            <v>19538</v>
          </cell>
          <cell r="K38">
            <v>19538</v>
          </cell>
          <cell r="L38">
            <v>19538</v>
          </cell>
          <cell r="M38">
            <v>19538</v>
          </cell>
        </row>
        <row r="39">
          <cell r="B39" t="str">
            <v>Male Adult</v>
          </cell>
          <cell r="C39">
            <v>9071</v>
          </cell>
          <cell r="D39">
            <v>9071</v>
          </cell>
          <cell r="E39">
            <v>9071</v>
          </cell>
          <cell r="F39">
            <v>9071</v>
          </cell>
          <cell r="G39">
            <v>9071</v>
          </cell>
          <cell r="H39">
            <v>9071</v>
          </cell>
          <cell r="I39">
            <v>9071</v>
          </cell>
          <cell r="J39">
            <v>9071</v>
          </cell>
          <cell r="K39">
            <v>9071</v>
          </cell>
          <cell r="L39">
            <v>9071</v>
          </cell>
          <cell r="M39">
            <v>9071</v>
          </cell>
        </row>
        <row r="40">
          <cell r="B40" t="str">
            <v>Female Adult</v>
          </cell>
          <cell r="C40">
            <v>10467</v>
          </cell>
          <cell r="D40">
            <v>10467</v>
          </cell>
          <cell r="E40">
            <v>10467</v>
          </cell>
          <cell r="F40">
            <v>10467</v>
          </cell>
          <cell r="G40">
            <v>10467</v>
          </cell>
          <cell r="H40">
            <v>10467</v>
          </cell>
          <cell r="I40">
            <v>10467</v>
          </cell>
          <cell r="J40">
            <v>10467</v>
          </cell>
          <cell r="K40">
            <v>10467</v>
          </cell>
          <cell r="L40">
            <v>10467</v>
          </cell>
          <cell r="M40">
            <v>10467</v>
          </cell>
        </row>
        <row r="41">
          <cell r="B41" t="str">
            <v>Female Rep Age</v>
          </cell>
          <cell r="C41">
            <v>8514</v>
          </cell>
          <cell r="D41">
            <v>8514</v>
          </cell>
          <cell r="E41">
            <v>8514</v>
          </cell>
          <cell r="F41">
            <v>8514</v>
          </cell>
          <cell r="G41">
            <v>8514</v>
          </cell>
          <cell r="H41">
            <v>8514</v>
          </cell>
          <cell r="I41">
            <v>8514</v>
          </cell>
          <cell r="J41">
            <v>8514</v>
          </cell>
          <cell r="K41">
            <v>8514</v>
          </cell>
          <cell r="L41">
            <v>8514</v>
          </cell>
          <cell r="M41">
            <v>8514</v>
          </cell>
        </row>
        <row r="42">
          <cell r="B42" t="str">
            <v>Fem + Male Rep Age</v>
          </cell>
          <cell r="C42">
            <v>17585</v>
          </cell>
          <cell r="D42">
            <v>17585</v>
          </cell>
          <cell r="E42">
            <v>17585</v>
          </cell>
          <cell r="F42">
            <v>17585</v>
          </cell>
          <cell r="G42">
            <v>17585</v>
          </cell>
          <cell r="H42">
            <v>17585</v>
          </cell>
          <cell r="I42">
            <v>17585</v>
          </cell>
          <cell r="J42">
            <v>17585</v>
          </cell>
          <cell r="K42">
            <v>17585</v>
          </cell>
          <cell r="L42">
            <v>17585</v>
          </cell>
          <cell r="M42">
            <v>17585</v>
          </cell>
        </row>
        <row r="43">
          <cell r="B43" t="str">
            <v>Pregnant Women</v>
          </cell>
          <cell r="C43">
            <v>1087</v>
          </cell>
          <cell r="D43">
            <v>1087</v>
          </cell>
          <cell r="E43">
            <v>1087</v>
          </cell>
          <cell r="F43">
            <v>1087</v>
          </cell>
          <cell r="G43">
            <v>1087</v>
          </cell>
          <cell r="H43">
            <v>1087</v>
          </cell>
          <cell r="I43">
            <v>1087</v>
          </cell>
          <cell r="J43">
            <v>1087</v>
          </cell>
          <cell r="K43">
            <v>1087</v>
          </cell>
          <cell r="L43">
            <v>1087</v>
          </cell>
          <cell r="M43">
            <v>1087</v>
          </cell>
        </row>
        <row r="44">
          <cell r="B44" t="str">
            <v>Postpartum Women</v>
          </cell>
          <cell r="C44">
            <v>1083</v>
          </cell>
          <cell r="D44">
            <v>1083</v>
          </cell>
          <cell r="E44">
            <v>1083</v>
          </cell>
          <cell r="F44">
            <v>1083</v>
          </cell>
          <cell r="G44">
            <v>1083</v>
          </cell>
          <cell r="H44">
            <v>1083</v>
          </cell>
          <cell r="I44">
            <v>1083</v>
          </cell>
          <cell r="J44">
            <v>1083</v>
          </cell>
          <cell r="K44">
            <v>1083</v>
          </cell>
          <cell r="L44">
            <v>1083</v>
          </cell>
          <cell r="M44">
            <v>1083</v>
          </cell>
        </row>
        <row r="45">
          <cell r="B45" t="str">
            <v>Newborns</v>
          </cell>
          <cell r="C45">
            <v>1094</v>
          </cell>
          <cell r="D45">
            <v>1094</v>
          </cell>
          <cell r="E45">
            <v>1094</v>
          </cell>
          <cell r="F45">
            <v>1094</v>
          </cell>
          <cell r="G45">
            <v>1094</v>
          </cell>
          <cell r="H45">
            <v>1094</v>
          </cell>
          <cell r="I45">
            <v>1094</v>
          </cell>
          <cell r="J45">
            <v>1094</v>
          </cell>
          <cell r="K45">
            <v>1094</v>
          </cell>
          <cell r="L45">
            <v>1094</v>
          </cell>
          <cell r="M45">
            <v>1094</v>
          </cell>
        </row>
        <row r="48">
          <cell r="B48" t="str">
            <v>All</v>
          </cell>
          <cell r="C48">
            <v>5303.2</v>
          </cell>
          <cell r="D48">
            <v>5303</v>
          </cell>
          <cell r="E48">
            <v>5303</v>
          </cell>
          <cell r="F48">
            <v>5303</v>
          </cell>
          <cell r="G48">
            <v>5303</v>
          </cell>
          <cell r="H48">
            <v>5303</v>
          </cell>
          <cell r="I48">
            <v>5303</v>
          </cell>
          <cell r="J48">
            <v>5303</v>
          </cell>
          <cell r="K48">
            <v>5303</v>
          </cell>
          <cell r="L48">
            <v>5303</v>
          </cell>
          <cell r="M48">
            <v>5303</v>
          </cell>
        </row>
        <row r="49">
          <cell r="B49" t="e">
            <v>#REF!</v>
          </cell>
          <cell r="C49" t="e">
            <v>#REF!</v>
          </cell>
          <cell r="D49" t="e">
            <v>#REF!</v>
          </cell>
          <cell r="E49" t="e">
            <v>#REF!</v>
          </cell>
          <cell r="F49" t="e">
            <v>#REF!</v>
          </cell>
          <cell r="G49" t="e">
            <v>#REF!</v>
          </cell>
          <cell r="H49" t="e">
            <v>#REF!</v>
          </cell>
          <cell r="I49" t="e">
            <v>#REF!</v>
          </cell>
          <cell r="J49" t="e">
            <v>#REF!</v>
          </cell>
          <cell r="K49" t="e">
            <v>#REF!</v>
          </cell>
          <cell r="L49" t="e">
            <v>#REF!</v>
          </cell>
          <cell r="M49" t="e">
            <v>#REF!</v>
          </cell>
        </row>
        <row r="50">
          <cell r="B50" t="str">
            <v>Household</v>
          </cell>
          <cell r="C50">
            <v>1152.8695652173913</v>
          </cell>
          <cell r="D50">
            <v>1152.8260869565217</v>
          </cell>
          <cell r="E50">
            <v>1152.8260869565217</v>
          </cell>
          <cell r="F50">
            <v>1152.8260869565217</v>
          </cell>
          <cell r="G50">
            <v>1152.8260869565217</v>
          </cell>
          <cell r="H50">
            <v>1152.8260869565217</v>
          </cell>
          <cell r="I50">
            <v>1152.8260869565217</v>
          </cell>
          <cell r="J50">
            <v>1152.8260869565217</v>
          </cell>
          <cell r="K50">
            <v>1152.8260869565217</v>
          </cell>
          <cell r="L50">
            <v>1152.8260869565217</v>
          </cell>
          <cell r="M50">
            <v>1152.8260869565217</v>
          </cell>
        </row>
        <row r="51">
          <cell r="B51" t="str">
            <v>All Male</v>
          </cell>
          <cell r="C51">
            <v>2540</v>
          </cell>
          <cell r="D51">
            <v>2539</v>
          </cell>
          <cell r="E51">
            <v>2539</v>
          </cell>
          <cell r="F51">
            <v>2539</v>
          </cell>
          <cell r="G51">
            <v>2539</v>
          </cell>
          <cell r="H51">
            <v>2539</v>
          </cell>
          <cell r="I51">
            <v>2539</v>
          </cell>
          <cell r="J51">
            <v>2539</v>
          </cell>
          <cell r="K51">
            <v>2539</v>
          </cell>
          <cell r="L51">
            <v>2539</v>
          </cell>
          <cell r="M51">
            <v>2539</v>
          </cell>
        </row>
        <row r="52">
          <cell r="B52" t="str">
            <v>All Female</v>
          </cell>
          <cell r="C52">
            <v>2764</v>
          </cell>
          <cell r="D52">
            <v>2764</v>
          </cell>
          <cell r="E52">
            <v>2764</v>
          </cell>
          <cell r="F52">
            <v>2764</v>
          </cell>
          <cell r="G52">
            <v>2764</v>
          </cell>
          <cell r="H52">
            <v>2764</v>
          </cell>
          <cell r="I52">
            <v>2764</v>
          </cell>
          <cell r="J52">
            <v>2764</v>
          </cell>
          <cell r="K52">
            <v>2764</v>
          </cell>
          <cell r="L52">
            <v>2764</v>
          </cell>
          <cell r="M52">
            <v>2764</v>
          </cell>
        </row>
        <row r="53">
          <cell r="B53" t="str">
            <v>Children &lt;1</v>
          </cell>
          <cell r="C53">
            <v>304</v>
          </cell>
          <cell r="D53">
            <v>304</v>
          </cell>
          <cell r="E53">
            <v>304</v>
          </cell>
          <cell r="F53">
            <v>304</v>
          </cell>
          <cell r="G53">
            <v>304</v>
          </cell>
          <cell r="H53">
            <v>304</v>
          </cell>
          <cell r="I53">
            <v>304</v>
          </cell>
          <cell r="J53">
            <v>304</v>
          </cell>
          <cell r="K53">
            <v>304</v>
          </cell>
          <cell r="L53">
            <v>304</v>
          </cell>
          <cell r="M53">
            <v>304</v>
          </cell>
        </row>
        <row r="54">
          <cell r="B54" t="str">
            <v>Children 2-59 months</v>
          </cell>
          <cell r="C54">
            <v>748</v>
          </cell>
          <cell r="D54">
            <v>748</v>
          </cell>
          <cell r="E54">
            <v>748</v>
          </cell>
          <cell r="F54">
            <v>748</v>
          </cell>
          <cell r="G54">
            <v>748</v>
          </cell>
          <cell r="H54">
            <v>748</v>
          </cell>
          <cell r="I54">
            <v>748</v>
          </cell>
          <cell r="J54">
            <v>748</v>
          </cell>
          <cell r="K54">
            <v>748</v>
          </cell>
          <cell r="L54">
            <v>748</v>
          </cell>
          <cell r="M54">
            <v>748</v>
          </cell>
        </row>
        <row r="55">
          <cell r="B55" t="str">
            <v>Chidlren 6-59 months</v>
          </cell>
          <cell r="C55">
            <v>697</v>
          </cell>
          <cell r="D55">
            <v>697</v>
          </cell>
          <cell r="E55">
            <v>697</v>
          </cell>
          <cell r="F55">
            <v>697</v>
          </cell>
          <cell r="G55">
            <v>697</v>
          </cell>
          <cell r="H55">
            <v>697</v>
          </cell>
          <cell r="I55">
            <v>697</v>
          </cell>
          <cell r="J55">
            <v>697</v>
          </cell>
          <cell r="K55">
            <v>697</v>
          </cell>
          <cell r="L55">
            <v>697</v>
          </cell>
          <cell r="M55">
            <v>697</v>
          </cell>
        </row>
        <row r="56">
          <cell r="B56" t="str">
            <v>Children &gt;1 to &lt;5</v>
          </cell>
          <cell r="C56">
            <v>470</v>
          </cell>
          <cell r="D56">
            <v>470</v>
          </cell>
          <cell r="E56">
            <v>470</v>
          </cell>
          <cell r="F56">
            <v>470</v>
          </cell>
          <cell r="G56">
            <v>470</v>
          </cell>
          <cell r="H56">
            <v>470</v>
          </cell>
          <cell r="I56">
            <v>470</v>
          </cell>
          <cell r="J56">
            <v>470</v>
          </cell>
          <cell r="K56">
            <v>470</v>
          </cell>
          <cell r="L56">
            <v>470</v>
          </cell>
          <cell r="M56">
            <v>470</v>
          </cell>
        </row>
        <row r="57">
          <cell r="B57" t="str">
            <v>Children &lt;5</v>
          </cell>
          <cell r="C57">
            <v>774</v>
          </cell>
          <cell r="D57">
            <v>774</v>
          </cell>
          <cell r="E57">
            <v>774</v>
          </cell>
          <cell r="F57">
            <v>774</v>
          </cell>
          <cell r="G57">
            <v>774</v>
          </cell>
          <cell r="H57">
            <v>774</v>
          </cell>
          <cell r="I57">
            <v>774</v>
          </cell>
          <cell r="J57">
            <v>774</v>
          </cell>
          <cell r="K57">
            <v>774</v>
          </cell>
          <cell r="L57">
            <v>774</v>
          </cell>
          <cell r="M57">
            <v>774</v>
          </cell>
        </row>
        <row r="58">
          <cell r="B58" t="str">
            <v>Children &lt;15</v>
          </cell>
          <cell r="C58">
            <v>1625</v>
          </cell>
          <cell r="D58">
            <v>1625</v>
          </cell>
          <cell r="E58">
            <v>1625</v>
          </cell>
          <cell r="F58">
            <v>1625</v>
          </cell>
          <cell r="G58">
            <v>1625</v>
          </cell>
          <cell r="H58">
            <v>1625</v>
          </cell>
          <cell r="I58">
            <v>1625</v>
          </cell>
          <cell r="J58">
            <v>1625</v>
          </cell>
          <cell r="K58">
            <v>1625</v>
          </cell>
          <cell r="L58">
            <v>1625</v>
          </cell>
          <cell r="M58">
            <v>1625</v>
          </cell>
        </row>
        <row r="59">
          <cell r="B59" t="str">
            <v>Adolescents 10-19</v>
          </cell>
          <cell r="C59">
            <v>1213</v>
          </cell>
          <cell r="D59">
            <v>1213</v>
          </cell>
          <cell r="E59">
            <v>1213</v>
          </cell>
          <cell r="F59">
            <v>1213</v>
          </cell>
          <cell r="G59">
            <v>1213</v>
          </cell>
          <cell r="H59">
            <v>1213</v>
          </cell>
          <cell r="I59">
            <v>1213</v>
          </cell>
          <cell r="J59">
            <v>1213</v>
          </cell>
          <cell r="K59">
            <v>1213</v>
          </cell>
          <cell r="L59">
            <v>1213</v>
          </cell>
          <cell r="M59">
            <v>1213</v>
          </cell>
        </row>
        <row r="60">
          <cell r="B60" t="str">
            <v>Youth 15-24</v>
          </cell>
          <cell r="C60">
            <v>1023</v>
          </cell>
          <cell r="D60">
            <v>1023</v>
          </cell>
          <cell r="E60">
            <v>1023</v>
          </cell>
          <cell r="F60">
            <v>1023</v>
          </cell>
          <cell r="G60">
            <v>1023</v>
          </cell>
          <cell r="H60">
            <v>1023</v>
          </cell>
          <cell r="I60">
            <v>1023</v>
          </cell>
          <cell r="J60">
            <v>1023</v>
          </cell>
          <cell r="K60">
            <v>1023</v>
          </cell>
          <cell r="L60">
            <v>1023</v>
          </cell>
          <cell r="M60">
            <v>1023</v>
          </cell>
        </row>
        <row r="61">
          <cell r="B61" t="str">
            <v>Adults &gt;5</v>
          </cell>
          <cell r="C61">
            <v>4529</v>
          </cell>
          <cell r="D61">
            <v>4529</v>
          </cell>
          <cell r="E61">
            <v>4529</v>
          </cell>
          <cell r="F61">
            <v>4529</v>
          </cell>
          <cell r="G61">
            <v>4529</v>
          </cell>
          <cell r="H61">
            <v>4529</v>
          </cell>
          <cell r="I61">
            <v>4529</v>
          </cell>
          <cell r="J61">
            <v>4529</v>
          </cell>
          <cell r="K61">
            <v>4529</v>
          </cell>
          <cell r="L61">
            <v>4529</v>
          </cell>
          <cell r="M61">
            <v>4529</v>
          </cell>
        </row>
        <row r="62">
          <cell r="B62" t="str">
            <v>Adults &gt;15</v>
          </cell>
          <cell r="C62">
            <v>3126</v>
          </cell>
          <cell r="D62">
            <v>3126</v>
          </cell>
          <cell r="E62">
            <v>3126</v>
          </cell>
          <cell r="F62">
            <v>3126</v>
          </cell>
          <cell r="G62">
            <v>3126</v>
          </cell>
          <cell r="H62">
            <v>3126</v>
          </cell>
          <cell r="I62">
            <v>3126</v>
          </cell>
          <cell r="J62">
            <v>3126</v>
          </cell>
          <cell r="K62">
            <v>3126</v>
          </cell>
          <cell r="L62">
            <v>3126</v>
          </cell>
          <cell r="M62">
            <v>3126</v>
          </cell>
        </row>
        <row r="63">
          <cell r="B63" t="str">
            <v>Male Adult</v>
          </cell>
          <cell r="C63">
            <v>1451</v>
          </cell>
          <cell r="D63">
            <v>1451</v>
          </cell>
          <cell r="E63">
            <v>1451</v>
          </cell>
          <cell r="F63">
            <v>1451</v>
          </cell>
          <cell r="G63">
            <v>1451</v>
          </cell>
          <cell r="H63">
            <v>1451</v>
          </cell>
          <cell r="I63">
            <v>1451</v>
          </cell>
          <cell r="J63">
            <v>1451</v>
          </cell>
          <cell r="K63">
            <v>1451</v>
          </cell>
          <cell r="L63">
            <v>1451</v>
          </cell>
          <cell r="M63">
            <v>1451</v>
          </cell>
        </row>
        <row r="64">
          <cell r="B64" t="str">
            <v>Female Adult</v>
          </cell>
          <cell r="C64">
            <v>1675</v>
          </cell>
          <cell r="D64">
            <v>1675</v>
          </cell>
          <cell r="E64">
            <v>1675</v>
          </cell>
          <cell r="F64">
            <v>1675</v>
          </cell>
          <cell r="G64">
            <v>1675</v>
          </cell>
          <cell r="H64">
            <v>1675</v>
          </cell>
          <cell r="I64">
            <v>1675</v>
          </cell>
          <cell r="J64">
            <v>1675</v>
          </cell>
          <cell r="K64">
            <v>1675</v>
          </cell>
          <cell r="L64">
            <v>1675</v>
          </cell>
          <cell r="M64">
            <v>1675</v>
          </cell>
        </row>
        <row r="65">
          <cell r="B65" t="str">
            <v>Female Rep Age</v>
          </cell>
          <cell r="C65">
            <v>1362</v>
          </cell>
          <cell r="D65">
            <v>1362</v>
          </cell>
          <cell r="E65">
            <v>1362</v>
          </cell>
          <cell r="F65">
            <v>1362</v>
          </cell>
          <cell r="G65">
            <v>1362</v>
          </cell>
          <cell r="H65">
            <v>1362</v>
          </cell>
          <cell r="I65">
            <v>1362</v>
          </cell>
          <cell r="J65">
            <v>1362</v>
          </cell>
          <cell r="K65">
            <v>1362</v>
          </cell>
          <cell r="L65">
            <v>1362</v>
          </cell>
          <cell r="M65">
            <v>1362</v>
          </cell>
        </row>
        <row r="66">
          <cell r="B66" t="str">
            <v>Fem + Male Rep Age</v>
          </cell>
          <cell r="C66">
            <v>2813</v>
          </cell>
          <cell r="D66">
            <v>2813</v>
          </cell>
          <cell r="E66">
            <v>2813</v>
          </cell>
          <cell r="F66">
            <v>2813</v>
          </cell>
          <cell r="G66">
            <v>2813</v>
          </cell>
          <cell r="H66">
            <v>2813</v>
          </cell>
          <cell r="I66">
            <v>2813</v>
          </cell>
          <cell r="J66">
            <v>2813</v>
          </cell>
          <cell r="K66">
            <v>2813</v>
          </cell>
          <cell r="L66">
            <v>2813</v>
          </cell>
          <cell r="M66">
            <v>2813</v>
          </cell>
        </row>
        <row r="67">
          <cell r="B67" t="str">
            <v>Pregnant Women</v>
          </cell>
          <cell r="C67">
            <v>174</v>
          </cell>
          <cell r="D67">
            <v>174</v>
          </cell>
          <cell r="E67">
            <v>174</v>
          </cell>
          <cell r="F67">
            <v>174</v>
          </cell>
          <cell r="G67">
            <v>174</v>
          </cell>
          <cell r="H67">
            <v>174</v>
          </cell>
          <cell r="I67">
            <v>174</v>
          </cell>
          <cell r="J67">
            <v>174</v>
          </cell>
          <cell r="K67">
            <v>174</v>
          </cell>
          <cell r="L67">
            <v>174</v>
          </cell>
          <cell r="M67">
            <v>174</v>
          </cell>
        </row>
        <row r="68">
          <cell r="B68" t="str">
            <v>Postpartum Women</v>
          </cell>
          <cell r="C68">
            <v>173</v>
          </cell>
          <cell r="D68">
            <v>173</v>
          </cell>
          <cell r="E68">
            <v>173</v>
          </cell>
          <cell r="F68">
            <v>173</v>
          </cell>
          <cell r="G68">
            <v>173</v>
          </cell>
          <cell r="H68">
            <v>173</v>
          </cell>
          <cell r="I68">
            <v>173</v>
          </cell>
          <cell r="J68">
            <v>173</v>
          </cell>
          <cell r="K68">
            <v>173</v>
          </cell>
          <cell r="L68">
            <v>173</v>
          </cell>
          <cell r="M68">
            <v>173</v>
          </cell>
        </row>
        <row r="69">
          <cell r="B69" t="str">
            <v>Newborns</v>
          </cell>
          <cell r="C69">
            <v>175</v>
          </cell>
          <cell r="D69">
            <v>175</v>
          </cell>
          <cell r="E69">
            <v>175</v>
          </cell>
          <cell r="F69">
            <v>175</v>
          </cell>
          <cell r="G69">
            <v>175</v>
          </cell>
          <cell r="H69">
            <v>175</v>
          </cell>
          <cell r="I69">
            <v>175</v>
          </cell>
          <cell r="J69">
            <v>175</v>
          </cell>
          <cell r="K69">
            <v>175</v>
          </cell>
          <cell r="L69">
            <v>175</v>
          </cell>
          <cell r="M69">
            <v>175</v>
          </cell>
        </row>
        <row r="72">
          <cell r="B72" t="str">
            <v>All</v>
          </cell>
          <cell r="C72">
            <v>27841.8</v>
          </cell>
          <cell r="D72">
            <v>27842</v>
          </cell>
          <cell r="E72">
            <v>27842</v>
          </cell>
          <cell r="F72">
            <v>27842</v>
          </cell>
          <cell r="G72">
            <v>27842</v>
          </cell>
          <cell r="H72">
            <v>27842</v>
          </cell>
          <cell r="I72">
            <v>27842</v>
          </cell>
          <cell r="J72">
            <v>27842</v>
          </cell>
          <cell r="K72">
            <v>27842</v>
          </cell>
          <cell r="L72">
            <v>27842</v>
          </cell>
          <cell r="M72">
            <v>27842</v>
          </cell>
        </row>
        <row r="73">
          <cell r="B73" t="e">
            <v>#REF!</v>
          </cell>
          <cell r="C73" t="e">
            <v>#REF!</v>
          </cell>
          <cell r="D73" t="e">
            <v>#REF!</v>
          </cell>
          <cell r="E73" t="e">
            <v>#REF!</v>
          </cell>
          <cell r="F73" t="e">
            <v>#REF!</v>
          </cell>
          <cell r="G73" t="e">
            <v>#REF!</v>
          </cell>
          <cell r="H73" t="e">
            <v>#REF!</v>
          </cell>
          <cell r="I73" t="e">
            <v>#REF!</v>
          </cell>
          <cell r="J73" t="e">
            <v>#REF!</v>
          </cell>
          <cell r="K73" t="e">
            <v>#REF!</v>
          </cell>
          <cell r="L73" t="e">
            <v>#REF!</v>
          </cell>
          <cell r="M73" t="e">
            <v>#REF!</v>
          </cell>
        </row>
        <row r="74">
          <cell r="B74" t="str">
            <v>Household</v>
          </cell>
          <cell r="C74">
            <v>6052.5652173913049</v>
          </cell>
          <cell r="D74">
            <v>6052.608695652174</v>
          </cell>
          <cell r="E74">
            <v>6052.608695652174</v>
          </cell>
          <cell r="F74">
            <v>6052.608695652174</v>
          </cell>
          <cell r="G74">
            <v>6052.608695652174</v>
          </cell>
          <cell r="H74">
            <v>6052.608695652174</v>
          </cell>
          <cell r="I74">
            <v>6052.608695652174</v>
          </cell>
          <cell r="J74">
            <v>6052.608695652174</v>
          </cell>
          <cell r="K74">
            <v>6052.608695652174</v>
          </cell>
          <cell r="L74">
            <v>6052.608695652174</v>
          </cell>
          <cell r="M74">
            <v>6052.608695652174</v>
          </cell>
        </row>
        <row r="75">
          <cell r="B75" t="str">
            <v>All Male</v>
          </cell>
          <cell r="C75">
            <v>13333</v>
          </cell>
          <cell r="D75">
            <v>13333</v>
          </cell>
          <cell r="E75">
            <v>13333</v>
          </cell>
          <cell r="F75">
            <v>13333</v>
          </cell>
          <cell r="G75">
            <v>13333</v>
          </cell>
          <cell r="H75">
            <v>13333</v>
          </cell>
          <cell r="I75">
            <v>13333</v>
          </cell>
          <cell r="J75">
            <v>13333</v>
          </cell>
          <cell r="K75">
            <v>13333</v>
          </cell>
          <cell r="L75">
            <v>13333</v>
          </cell>
          <cell r="M75">
            <v>13333</v>
          </cell>
        </row>
        <row r="76">
          <cell r="B76" t="str">
            <v>All Female</v>
          </cell>
          <cell r="C76">
            <v>14509</v>
          </cell>
          <cell r="D76">
            <v>14509</v>
          </cell>
          <cell r="E76">
            <v>14509</v>
          </cell>
          <cell r="F76">
            <v>14509</v>
          </cell>
          <cell r="G76">
            <v>14509</v>
          </cell>
          <cell r="H76">
            <v>14509</v>
          </cell>
          <cell r="I76">
            <v>14509</v>
          </cell>
          <cell r="J76">
            <v>14509</v>
          </cell>
          <cell r="K76">
            <v>14509</v>
          </cell>
          <cell r="L76">
            <v>14509</v>
          </cell>
          <cell r="M76">
            <v>14509</v>
          </cell>
        </row>
        <row r="77">
          <cell r="B77" t="str">
            <v>Children &lt;1</v>
          </cell>
          <cell r="C77">
            <v>1596</v>
          </cell>
          <cell r="D77">
            <v>304</v>
          </cell>
          <cell r="E77">
            <v>304</v>
          </cell>
          <cell r="F77">
            <v>304</v>
          </cell>
          <cell r="G77">
            <v>304</v>
          </cell>
          <cell r="H77">
            <v>304</v>
          </cell>
          <cell r="I77">
            <v>304</v>
          </cell>
          <cell r="J77">
            <v>304</v>
          </cell>
          <cell r="K77">
            <v>304</v>
          </cell>
          <cell r="L77">
            <v>304</v>
          </cell>
          <cell r="M77">
            <v>304</v>
          </cell>
        </row>
        <row r="78">
          <cell r="B78" t="str">
            <v>Children 2-59 months</v>
          </cell>
          <cell r="C78">
            <v>3929</v>
          </cell>
          <cell r="D78">
            <v>3929</v>
          </cell>
          <cell r="E78">
            <v>3929</v>
          </cell>
          <cell r="F78">
            <v>3929</v>
          </cell>
          <cell r="G78">
            <v>3929</v>
          </cell>
          <cell r="H78">
            <v>3929</v>
          </cell>
          <cell r="I78">
            <v>3929</v>
          </cell>
          <cell r="J78">
            <v>3929</v>
          </cell>
          <cell r="K78">
            <v>3929</v>
          </cell>
          <cell r="L78">
            <v>3929</v>
          </cell>
          <cell r="M78">
            <v>3929</v>
          </cell>
        </row>
        <row r="79">
          <cell r="B79" t="str">
            <v>Children 6-59 months</v>
          </cell>
          <cell r="C79">
            <v>3658</v>
          </cell>
          <cell r="D79">
            <v>3658</v>
          </cell>
          <cell r="E79">
            <v>3658</v>
          </cell>
          <cell r="F79">
            <v>3658</v>
          </cell>
          <cell r="G79">
            <v>3658</v>
          </cell>
          <cell r="H79">
            <v>3658</v>
          </cell>
          <cell r="I79">
            <v>3658</v>
          </cell>
          <cell r="J79">
            <v>3658</v>
          </cell>
          <cell r="K79">
            <v>3658</v>
          </cell>
          <cell r="L79">
            <v>3658</v>
          </cell>
          <cell r="M79">
            <v>3658</v>
          </cell>
        </row>
        <row r="80">
          <cell r="B80" t="str">
            <v>Children &gt;1 to &lt;5</v>
          </cell>
          <cell r="C80">
            <v>2469</v>
          </cell>
          <cell r="D80">
            <v>2469</v>
          </cell>
          <cell r="E80">
            <v>2469</v>
          </cell>
          <cell r="F80">
            <v>2469</v>
          </cell>
          <cell r="G80">
            <v>2469</v>
          </cell>
          <cell r="H80">
            <v>2469</v>
          </cell>
          <cell r="I80">
            <v>2469</v>
          </cell>
          <cell r="J80">
            <v>2469</v>
          </cell>
          <cell r="K80">
            <v>2469</v>
          </cell>
          <cell r="L80">
            <v>2469</v>
          </cell>
          <cell r="M80">
            <v>2469</v>
          </cell>
        </row>
        <row r="81">
          <cell r="B81" t="str">
            <v>Children &lt;5</v>
          </cell>
          <cell r="C81">
            <v>4065</v>
          </cell>
          <cell r="D81">
            <v>4065</v>
          </cell>
          <cell r="E81">
            <v>4065</v>
          </cell>
          <cell r="F81">
            <v>4065</v>
          </cell>
          <cell r="G81">
            <v>4065</v>
          </cell>
          <cell r="H81">
            <v>4065</v>
          </cell>
          <cell r="I81">
            <v>4065</v>
          </cell>
          <cell r="J81">
            <v>4065</v>
          </cell>
          <cell r="K81">
            <v>4065</v>
          </cell>
          <cell r="L81">
            <v>4065</v>
          </cell>
          <cell r="M81">
            <v>4065</v>
          </cell>
        </row>
        <row r="82">
          <cell r="B82" t="str">
            <v>Children &lt;15</v>
          </cell>
          <cell r="C82">
            <v>8532</v>
          </cell>
          <cell r="D82">
            <v>8532</v>
          </cell>
          <cell r="E82">
            <v>8532</v>
          </cell>
          <cell r="F82">
            <v>8532</v>
          </cell>
          <cell r="G82">
            <v>8532</v>
          </cell>
          <cell r="H82">
            <v>8532</v>
          </cell>
          <cell r="I82">
            <v>8532</v>
          </cell>
          <cell r="J82">
            <v>8532</v>
          </cell>
          <cell r="K82">
            <v>8532</v>
          </cell>
          <cell r="L82">
            <v>8532</v>
          </cell>
          <cell r="M82">
            <v>8532</v>
          </cell>
        </row>
        <row r="83">
          <cell r="B83" t="str">
            <v>Adolescents 10-19</v>
          </cell>
          <cell r="C83">
            <v>6368</v>
          </cell>
          <cell r="D83">
            <v>6368</v>
          </cell>
          <cell r="E83">
            <v>6368</v>
          </cell>
          <cell r="F83">
            <v>6368</v>
          </cell>
          <cell r="G83">
            <v>6368</v>
          </cell>
          <cell r="H83">
            <v>6368</v>
          </cell>
          <cell r="I83">
            <v>6368</v>
          </cell>
          <cell r="J83">
            <v>6368</v>
          </cell>
          <cell r="K83">
            <v>6368</v>
          </cell>
          <cell r="L83">
            <v>6368</v>
          </cell>
          <cell r="M83">
            <v>6368</v>
          </cell>
        </row>
        <row r="84">
          <cell r="B84" t="str">
            <v>Youth 15-24</v>
          </cell>
          <cell r="C84">
            <v>5371</v>
          </cell>
          <cell r="D84">
            <v>5371</v>
          </cell>
          <cell r="E84">
            <v>5371</v>
          </cell>
          <cell r="F84">
            <v>5371</v>
          </cell>
          <cell r="G84">
            <v>5371</v>
          </cell>
          <cell r="H84">
            <v>5371</v>
          </cell>
          <cell r="I84">
            <v>5371</v>
          </cell>
          <cell r="J84">
            <v>5371</v>
          </cell>
          <cell r="K84">
            <v>5371</v>
          </cell>
          <cell r="L84">
            <v>5371</v>
          </cell>
          <cell r="M84">
            <v>5371</v>
          </cell>
        </row>
        <row r="85">
          <cell r="B85" t="str">
            <v>Adults &gt;5</v>
          </cell>
          <cell r="C85">
            <v>23777</v>
          </cell>
          <cell r="D85">
            <v>23777</v>
          </cell>
          <cell r="E85">
            <v>23777</v>
          </cell>
          <cell r="F85">
            <v>23777</v>
          </cell>
          <cell r="G85">
            <v>23777</v>
          </cell>
          <cell r="H85">
            <v>23777</v>
          </cell>
          <cell r="I85">
            <v>23777</v>
          </cell>
          <cell r="J85">
            <v>23777</v>
          </cell>
          <cell r="K85">
            <v>23777</v>
          </cell>
          <cell r="L85">
            <v>23777</v>
          </cell>
          <cell r="M85">
            <v>23777</v>
          </cell>
        </row>
        <row r="86">
          <cell r="B86" t="str">
            <v>Adults &gt;15</v>
          </cell>
          <cell r="C86">
            <v>16412</v>
          </cell>
          <cell r="D86">
            <v>16412</v>
          </cell>
          <cell r="E86">
            <v>16412</v>
          </cell>
          <cell r="F86">
            <v>16412</v>
          </cell>
          <cell r="G86">
            <v>16412</v>
          </cell>
          <cell r="H86">
            <v>16412</v>
          </cell>
          <cell r="I86">
            <v>16412</v>
          </cell>
          <cell r="J86">
            <v>16412</v>
          </cell>
          <cell r="K86">
            <v>16412</v>
          </cell>
          <cell r="L86">
            <v>16412</v>
          </cell>
          <cell r="M86">
            <v>16412</v>
          </cell>
        </row>
        <row r="87">
          <cell r="B87" t="str">
            <v>Male Adult</v>
          </cell>
          <cell r="C87">
            <v>7620</v>
          </cell>
          <cell r="D87">
            <v>7620</v>
          </cell>
          <cell r="E87">
            <v>7620</v>
          </cell>
          <cell r="F87">
            <v>7620</v>
          </cell>
          <cell r="G87">
            <v>7620</v>
          </cell>
          <cell r="H87">
            <v>7620</v>
          </cell>
          <cell r="I87">
            <v>7620</v>
          </cell>
          <cell r="J87">
            <v>7620</v>
          </cell>
          <cell r="K87">
            <v>7620</v>
          </cell>
          <cell r="L87">
            <v>7620</v>
          </cell>
          <cell r="M87">
            <v>7620</v>
          </cell>
        </row>
        <row r="88">
          <cell r="B88" t="str">
            <v>Female Adult</v>
          </cell>
          <cell r="C88">
            <v>8793</v>
          </cell>
          <cell r="D88">
            <v>8793</v>
          </cell>
          <cell r="E88">
            <v>8793</v>
          </cell>
          <cell r="F88">
            <v>8793</v>
          </cell>
          <cell r="G88">
            <v>8793</v>
          </cell>
          <cell r="H88">
            <v>8793</v>
          </cell>
          <cell r="I88">
            <v>8793</v>
          </cell>
          <cell r="J88">
            <v>8793</v>
          </cell>
          <cell r="K88">
            <v>8793</v>
          </cell>
          <cell r="L88">
            <v>8793</v>
          </cell>
          <cell r="M88">
            <v>8793</v>
          </cell>
        </row>
        <row r="89">
          <cell r="B89" t="str">
            <v>Female Rep Age</v>
          </cell>
          <cell r="C89">
            <v>7152</v>
          </cell>
          <cell r="D89">
            <v>7152</v>
          </cell>
          <cell r="E89">
            <v>7152</v>
          </cell>
          <cell r="F89">
            <v>7152</v>
          </cell>
          <cell r="G89">
            <v>7152</v>
          </cell>
          <cell r="H89">
            <v>7152</v>
          </cell>
          <cell r="I89">
            <v>7152</v>
          </cell>
          <cell r="J89">
            <v>7152</v>
          </cell>
          <cell r="K89">
            <v>7152</v>
          </cell>
          <cell r="L89">
            <v>7152</v>
          </cell>
          <cell r="M89">
            <v>7152</v>
          </cell>
        </row>
        <row r="90">
          <cell r="B90" t="str">
            <v>Fem + Male Rep Age</v>
          </cell>
          <cell r="C90">
            <v>14772</v>
          </cell>
          <cell r="D90">
            <v>14772</v>
          </cell>
          <cell r="E90">
            <v>14772</v>
          </cell>
          <cell r="F90">
            <v>14772</v>
          </cell>
          <cell r="G90">
            <v>14772</v>
          </cell>
          <cell r="H90">
            <v>14772</v>
          </cell>
          <cell r="I90">
            <v>14772</v>
          </cell>
          <cell r="J90">
            <v>14772</v>
          </cell>
          <cell r="K90">
            <v>14772</v>
          </cell>
          <cell r="L90">
            <v>14772</v>
          </cell>
          <cell r="M90">
            <v>14772</v>
          </cell>
        </row>
        <row r="91">
          <cell r="B91" t="str">
            <v>Pregnant Women</v>
          </cell>
          <cell r="C91">
            <v>913</v>
          </cell>
          <cell r="D91">
            <v>913</v>
          </cell>
          <cell r="E91">
            <v>913</v>
          </cell>
          <cell r="F91">
            <v>913</v>
          </cell>
          <cell r="G91">
            <v>913</v>
          </cell>
          <cell r="H91">
            <v>913</v>
          </cell>
          <cell r="I91">
            <v>913</v>
          </cell>
          <cell r="J91">
            <v>913</v>
          </cell>
          <cell r="K91">
            <v>913</v>
          </cell>
          <cell r="L91">
            <v>913</v>
          </cell>
          <cell r="M91">
            <v>913</v>
          </cell>
        </row>
        <row r="92">
          <cell r="B92" t="str">
            <v>Postpartum Women</v>
          </cell>
          <cell r="C92">
            <v>910</v>
          </cell>
          <cell r="D92">
            <v>910</v>
          </cell>
          <cell r="E92">
            <v>910</v>
          </cell>
          <cell r="F92">
            <v>910</v>
          </cell>
          <cell r="G92">
            <v>910</v>
          </cell>
          <cell r="H92">
            <v>910</v>
          </cell>
          <cell r="I92">
            <v>910</v>
          </cell>
          <cell r="J92">
            <v>910</v>
          </cell>
          <cell r="K92">
            <v>910</v>
          </cell>
          <cell r="L92">
            <v>910</v>
          </cell>
          <cell r="M92">
            <v>910</v>
          </cell>
        </row>
        <row r="93">
          <cell r="B93" t="str">
            <v>Newborns</v>
          </cell>
          <cell r="C93">
            <v>919</v>
          </cell>
          <cell r="D93">
            <v>919</v>
          </cell>
          <cell r="E93">
            <v>919</v>
          </cell>
          <cell r="F93">
            <v>919</v>
          </cell>
          <cell r="G93">
            <v>919</v>
          </cell>
          <cell r="H93">
            <v>919</v>
          </cell>
          <cell r="I93">
            <v>919</v>
          </cell>
          <cell r="J93">
            <v>919</v>
          </cell>
          <cell r="K93">
            <v>919</v>
          </cell>
          <cell r="L93">
            <v>919</v>
          </cell>
          <cell r="M93">
            <v>919</v>
          </cell>
        </row>
      </sheetData>
      <sheetData sheetId="24">
        <row r="4">
          <cell r="B4" t="str">
            <v>Male condom distribution (ASM)</v>
          </cell>
          <cell r="C4" t="str">
            <v>Community Based Provision of family planning</v>
          </cell>
          <cell r="D4">
            <v>30</v>
          </cell>
          <cell r="E4" t="str">
            <v>ASM</v>
          </cell>
        </row>
        <row r="5">
          <cell r="B5" t="str">
            <v>Male condom distribution (Binome)</v>
          </cell>
          <cell r="C5" t="str">
            <v>Community Based Provision of family planning</v>
          </cell>
          <cell r="D5">
            <v>30</v>
          </cell>
          <cell r="E5" t="str">
            <v>Binome</v>
          </cell>
        </row>
        <row r="6">
          <cell r="B6" t="str">
            <v>Oral Contraceptives (ASM)</v>
          </cell>
          <cell r="C6" t="str">
            <v>Community Based Provision of family planning</v>
          </cell>
          <cell r="D6">
            <v>20</v>
          </cell>
          <cell r="E6" t="str">
            <v>ASM</v>
          </cell>
        </row>
        <row r="7">
          <cell r="B7" t="str">
            <v>Oral Contraceptives (Binome)</v>
          </cell>
          <cell r="C7" t="str">
            <v>Community Based Provision of family planning</v>
          </cell>
          <cell r="D7">
            <v>20</v>
          </cell>
          <cell r="E7" t="str">
            <v>Binome</v>
          </cell>
        </row>
        <row r="8">
          <cell r="B8" t="str">
            <v>Depo Provera Injections (ASM)</v>
          </cell>
          <cell r="C8" t="str">
            <v>Community Based Provision of family planning</v>
          </cell>
          <cell r="D8">
            <v>35</v>
          </cell>
          <cell r="E8" t="str">
            <v>ASM</v>
          </cell>
        </row>
        <row r="9">
          <cell r="B9" t="str">
            <v>Depo Provera Injections (Binome)</v>
          </cell>
          <cell r="C9" t="str">
            <v>Community Based Provision of family planning</v>
          </cell>
          <cell r="D9">
            <v>35</v>
          </cell>
          <cell r="E9" t="str">
            <v>Binome</v>
          </cell>
        </row>
        <row r="10">
          <cell r="B10" t="str">
            <v>Cycle bead (ASM)</v>
          </cell>
          <cell r="C10" t="str">
            <v>Community Based Provision of family planning</v>
          </cell>
          <cell r="D10">
            <v>20</v>
          </cell>
          <cell r="E10" t="str">
            <v>ASM</v>
          </cell>
        </row>
        <row r="11">
          <cell r="B11" t="str">
            <v>Cycle bead (Binome)</v>
          </cell>
          <cell r="C11" t="str">
            <v>Community Based Provision of family planning</v>
          </cell>
          <cell r="D11">
            <v>20</v>
          </cell>
          <cell r="E11" t="str">
            <v>Binome</v>
          </cell>
        </row>
        <row r="12">
          <cell r="B12" t="str">
            <v>Family Planning Counseling (ASM)</v>
          </cell>
          <cell r="C12" t="str">
            <v>Community Based Provision of family planning</v>
          </cell>
          <cell r="D12">
            <v>40</v>
          </cell>
          <cell r="E12" t="str">
            <v>ASM</v>
          </cell>
        </row>
        <row r="13">
          <cell r="B13" t="str">
            <v>Family Planning Counseling (Binome)</v>
          </cell>
          <cell r="C13" t="str">
            <v>Community Based Provision of family planning</v>
          </cell>
          <cell r="D13">
            <v>40</v>
          </cell>
          <cell r="E13" t="str">
            <v>Binome</v>
          </cell>
        </row>
        <row r="14">
          <cell r="B14" t="str">
            <v>Postpartum family planning counseling</v>
          </cell>
          <cell r="C14" t="str">
            <v>Community Based Provision of family planning</v>
          </cell>
          <cell r="D14">
            <v>45</v>
          </cell>
          <cell r="E14" t="str">
            <v>ASM</v>
          </cell>
        </row>
        <row r="15">
          <cell r="B15">
            <v>0</v>
          </cell>
          <cell r="C15">
            <v>0</v>
          </cell>
          <cell r="D15">
            <v>0</v>
          </cell>
          <cell r="E15">
            <v>0</v>
          </cell>
        </row>
        <row r="16">
          <cell r="B16">
            <v>0</v>
          </cell>
          <cell r="C16">
            <v>0</v>
          </cell>
          <cell r="D16">
            <v>0</v>
          </cell>
          <cell r="E16">
            <v>0</v>
          </cell>
        </row>
        <row r="17">
          <cell r="B17" t="str">
            <v>ANC Visit 1</v>
          </cell>
          <cell r="C17" t="str">
            <v>Community Mother and Newborn Health Package</v>
          </cell>
          <cell r="D17">
            <v>30</v>
          </cell>
          <cell r="E17" t="str">
            <v>ASM</v>
          </cell>
        </row>
        <row r="18">
          <cell r="B18" t="str">
            <v>ANC Visit 2</v>
          </cell>
          <cell r="C18" t="str">
            <v>Community Mother and Newborn Health Package</v>
          </cell>
          <cell r="D18">
            <v>50</v>
          </cell>
          <cell r="E18" t="str">
            <v>ASM</v>
          </cell>
        </row>
        <row r="19">
          <cell r="B19" t="str">
            <v>ANC Visit 3</v>
          </cell>
          <cell r="C19" t="str">
            <v>Community Mother and Newborn Health Package</v>
          </cell>
          <cell r="D19">
            <v>45</v>
          </cell>
          <cell r="E19" t="str">
            <v>ASM</v>
          </cell>
        </row>
        <row r="20">
          <cell r="B20" t="str">
            <v>Delivery assistance (accompaniment)</v>
          </cell>
          <cell r="C20" t="str">
            <v>Community Mother and Newborn Health Package</v>
          </cell>
          <cell r="D20">
            <v>120</v>
          </cell>
          <cell r="E20" t="str">
            <v>ASM</v>
          </cell>
        </row>
        <row r="21">
          <cell r="B21" t="str">
            <v>Misoprostol for home delivery</v>
          </cell>
          <cell r="C21" t="str">
            <v>Community Mother and Newborn Health Package</v>
          </cell>
          <cell r="D21">
            <v>15</v>
          </cell>
          <cell r="E21" t="str">
            <v>ASM</v>
          </cell>
        </row>
        <row r="22">
          <cell r="B22" t="str">
            <v>PNC Visit 1 (normal weight)</v>
          </cell>
          <cell r="C22" t="str">
            <v>Community Mother and Newborn Health Package</v>
          </cell>
          <cell r="D22">
            <v>60</v>
          </cell>
          <cell r="E22" t="str">
            <v>ASM</v>
          </cell>
        </row>
        <row r="23">
          <cell r="B23" t="str">
            <v>PNC Visit 2 (normal weight)</v>
          </cell>
          <cell r="C23" t="str">
            <v>Community Mother and Newborn Health Package</v>
          </cell>
          <cell r="D23">
            <v>60</v>
          </cell>
          <cell r="E23" t="str">
            <v>ASM</v>
          </cell>
        </row>
        <row r="24">
          <cell r="B24" t="str">
            <v>PNC Visit 1 (underweight)</v>
          </cell>
          <cell r="C24" t="str">
            <v>Community Mother and Newborn Health Package</v>
          </cell>
          <cell r="D24">
            <v>90</v>
          </cell>
          <cell r="E24" t="str">
            <v>ASM</v>
          </cell>
        </row>
        <row r="25">
          <cell r="B25" t="str">
            <v>PNC Visit 2 (underweight)</v>
          </cell>
          <cell r="C25" t="str">
            <v>Community Mother and Newborn Health Package</v>
          </cell>
          <cell r="D25">
            <v>90</v>
          </cell>
          <cell r="E25" t="str">
            <v>ASM</v>
          </cell>
        </row>
        <row r="26">
          <cell r="B26" t="str">
            <v>Maternal or neonatal referral</v>
          </cell>
          <cell r="C26" t="str">
            <v>Community Mother and Newborn Health Package</v>
          </cell>
          <cell r="D26">
            <v>5</v>
          </cell>
          <cell r="E26" t="str">
            <v>ASM</v>
          </cell>
        </row>
        <row r="27">
          <cell r="B27">
            <v>0</v>
          </cell>
          <cell r="C27">
            <v>0</v>
          </cell>
          <cell r="D27">
            <v>0</v>
          </cell>
          <cell r="E27">
            <v>0</v>
          </cell>
        </row>
        <row r="28">
          <cell r="B28" t="str">
            <v>Sick child visit</v>
          </cell>
          <cell r="C28" t="str">
            <v>Integrated community case management</v>
          </cell>
          <cell r="D28">
            <v>45</v>
          </cell>
          <cell r="E28" t="str">
            <v>Binome</v>
          </cell>
        </row>
        <row r="29">
          <cell r="B29" t="str">
            <v>Diagnosis and treatment of diarrhea (2-59)</v>
          </cell>
          <cell r="C29" t="str">
            <v>Integrated community case management</v>
          </cell>
          <cell r="D29">
            <v>20</v>
          </cell>
          <cell r="E29" t="str">
            <v>Binome</v>
          </cell>
        </row>
        <row r="30">
          <cell r="B30" t="str">
            <v>Diagnosis and treatment of pneumonia (2-59)</v>
          </cell>
          <cell r="C30" t="str">
            <v>Integrated community case management</v>
          </cell>
          <cell r="D30">
            <v>35</v>
          </cell>
          <cell r="E30" t="str">
            <v>Binome</v>
          </cell>
        </row>
        <row r="31">
          <cell r="B31" t="str">
            <v>Diagnosis and treatment of malaria (2-59)</v>
          </cell>
          <cell r="C31" t="str">
            <v>Integrated community case management</v>
          </cell>
          <cell r="D31">
            <v>45</v>
          </cell>
          <cell r="E31" t="str">
            <v>Binome</v>
          </cell>
        </row>
        <row r="32">
          <cell r="B32" t="str">
            <v>Diagnosis and treatment of malaria (adult)</v>
          </cell>
          <cell r="C32" t="str">
            <v>Integrated community case management</v>
          </cell>
          <cell r="D32">
            <v>25</v>
          </cell>
          <cell r="E32" t="str">
            <v>Binome</v>
          </cell>
        </row>
        <row r="33">
          <cell r="B33" t="str">
            <v>ICCM follow up</v>
          </cell>
          <cell r="C33" t="str">
            <v>Integrated community case management</v>
          </cell>
          <cell r="D33">
            <v>25</v>
          </cell>
          <cell r="E33" t="str">
            <v>Binome</v>
          </cell>
        </row>
        <row r="34">
          <cell r="B34" t="str">
            <v>ICCM follow up and referral (difficult cases)</v>
          </cell>
          <cell r="C34" t="str">
            <v>Integrated community case management</v>
          </cell>
          <cell r="D34">
            <v>10</v>
          </cell>
          <cell r="E34" t="str">
            <v>Binome</v>
          </cell>
        </row>
        <row r="35">
          <cell r="B35">
            <v>0</v>
          </cell>
          <cell r="C35">
            <v>0</v>
          </cell>
          <cell r="D35">
            <v>0</v>
          </cell>
          <cell r="E35" t="str">
            <v/>
          </cell>
        </row>
        <row r="36">
          <cell r="B36" t="str">
            <v>Deworming (1 - 5 years)</v>
          </cell>
          <cell r="C36" t="str">
            <v>Integrated community case management</v>
          </cell>
          <cell r="D36">
            <v>5</v>
          </cell>
          <cell r="E36" t="str">
            <v>Binome</v>
          </cell>
        </row>
        <row r="37">
          <cell r="B37" t="str">
            <v>Immunization and vitA verification</v>
          </cell>
          <cell r="C37" t="str">
            <v>Integrated community case management</v>
          </cell>
          <cell r="D37">
            <v>4</v>
          </cell>
          <cell r="E37" t="str">
            <v>Binome</v>
          </cell>
        </row>
        <row r="38">
          <cell r="B38">
            <v>0</v>
          </cell>
          <cell r="C38">
            <v>0</v>
          </cell>
          <cell r="D38">
            <v>0</v>
          </cell>
          <cell r="E38">
            <v>0</v>
          </cell>
        </row>
        <row r="39">
          <cell r="B39" t="str">
            <v>Growth Monitoring (ASM)</v>
          </cell>
          <cell r="C39" t="str">
            <v>Community Based Nutrition Program</v>
          </cell>
          <cell r="D39">
            <v>180</v>
          </cell>
          <cell r="E39" t="str">
            <v>ASM</v>
          </cell>
        </row>
        <row r="40">
          <cell r="B40" t="str">
            <v>Growth Monitoring (binome)</v>
          </cell>
          <cell r="C40" t="str">
            <v>Community Based Nutrition Program</v>
          </cell>
          <cell r="D40">
            <v>180</v>
          </cell>
          <cell r="E40" t="str">
            <v>Binome</v>
          </cell>
        </row>
        <row r="41">
          <cell r="B41" t="str">
            <v>Malnutrition follow up</v>
          </cell>
          <cell r="C41" t="str">
            <v>Community Based Nutrition Program</v>
          </cell>
          <cell r="D41">
            <v>50</v>
          </cell>
          <cell r="E41" t="str">
            <v>ASM</v>
          </cell>
        </row>
        <row r="42">
          <cell r="B42">
            <v>0</v>
          </cell>
          <cell r="C42">
            <v>0</v>
          </cell>
          <cell r="D42">
            <v>0</v>
          </cell>
          <cell r="E42" t="str">
            <v/>
          </cell>
        </row>
        <row r="43">
          <cell r="B43" t="str">
            <v>Community cooking demonstration (ASM)</v>
          </cell>
          <cell r="C43" t="str">
            <v>Community Based Nutrition Program</v>
          </cell>
          <cell r="D43">
            <v>180</v>
          </cell>
          <cell r="E43" t="str">
            <v>ASM</v>
          </cell>
        </row>
        <row r="44">
          <cell r="B44" t="str">
            <v>Community cooking demonstration (binome)</v>
          </cell>
          <cell r="C44" t="str">
            <v>Community Based Nutrition Program</v>
          </cell>
          <cell r="D44">
            <v>180</v>
          </cell>
          <cell r="E44" t="str">
            <v>Binome</v>
          </cell>
        </row>
        <row r="45">
          <cell r="B45" t="str">
            <v>Home food fortification, Ongera (ASM)</v>
          </cell>
          <cell r="C45" t="str">
            <v>Community Based Nutrition Program</v>
          </cell>
          <cell r="D45">
            <v>60</v>
          </cell>
          <cell r="E45" t="str">
            <v>ASM</v>
          </cell>
        </row>
        <row r="46">
          <cell r="B46" t="str">
            <v>Home food fortification, Ongera (binome)</v>
          </cell>
          <cell r="C46" t="str">
            <v>Community Based Nutrition Program</v>
          </cell>
          <cell r="D46">
            <v>60</v>
          </cell>
          <cell r="E46" t="str">
            <v>Binome</v>
          </cell>
        </row>
        <row r="47">
          <cell r="B47" t="str">
            <v>Kitchen garden promotion</v>
          </cell>
          <cell r="C47" t="str">
            <v>Community Based Nutrition Program</v>
          </cell>
          <cell r="D47">
            <v>120</v>
          </cell>
          <cell r="E47" t="str">
            <v>ASM</v>
          </cell>
        </row>
        <row r="48">
          <cell r="B48" t="str">
            <v>Accompaniment for HIV testing (VCT)</v>
          </cell>
          <cell r="C48" t="str">
            <v>Reproductive Health Package</v>
          </cell>
          <cell r="D48">
            <v>120</v>
          </cell>
          <cell r="E48" t="str">
            <v>Binome</v>
          </cell>
        </row>
        <row r="49">
          <cell r="B49" t="str">
            <v>VCT as part of PMTCT (accompaniment)</v>
          </cell>
          <cell r="C49" t="str">
            <v>Reproductive Health Package</v>
          </cell>
          <cell r="D49">
            <v>120</v>
          </cell>
          <cell r="E49" t="str">
            <v>ASM</v>
          </cell>
        </row>
        <row r="50">
          <cell r="B50" t="str">
            <v>VCT as part of PMTCT (referral)</v>
          </cell>
          <cell r="C50" t="str">
            <v>Reproductive Health Package</v>
          </cell>
          <cell r="D50">
            <v>0</v>
          </cell>
          <cell r="E50" t="str">
            <v>ASM</v>
          </cell>
        </row>
        <row r="51">
          <cell r="B51" t="str">
            <v>Additional VCT for discordant couples</v>
          </cell>
          <cell r="C51">
            <v>0</v>
          </cell>
          <cell r="D51">
            <v>0</v>
          </cell>
          <cell r="E51" t="str">
            <v>ASM</v>
          </cell>
        </row>
        <row r="52">
          <cell r="B52" t="str">
            <v>ITN use in house during ANC (ASM)</v>
          </cell>
          <cell r="C52" t="str">
            <v>Behaviour Change Communication</v>
          </cell>
          <cell r="D52">
            <v>10</v>
          </cell>
          <cell r="E52" t="str">
            <v>ASM</v>
          </cell>
        </row>
        <row r="53">
          <cell r="B53" t="str">
            <v>ITN use in house during a home visit (binome)</v>
          </cell>
          <cell r="C53" t="str">
            <v>Behaviour Change Communication</v>
          </cell>
          <cell r="D53">
            <v>10</v>
          </cell>
          <cell r="E53" t="str">
            <v>Binome</v>
          </cell>
        </row>
        <row r="54">
          <cell r="B54">
            <v>0</v>
          </cell>
          <cell r="C54">
            <v>0</v>
          </cell>
          <cell r="D54">
            <v>0</v>
          </cell>
          <cell r="E54" t="str">
            <v/>
          </cell>
        </row>
        <row r="55">
          <cell r="B55" t="str">
            <v>Verbal autopsy: maternal assessment and reporting</v>
          </cell>
          <cell r="C55" t="str">
            <v>HIS reporting and audit</v>
          </cell>
          <cell r="D55">
            <v>120</v>
          </cell>
          <cell r="E55" t="str">
            <v>ASM</v>
          </cell>
        </row>
        <row r="56">
          <cell r="B56" t="str">
            <v>Verbal autopsy: maternal audit with HC</v>
          </cell>
          <cell r="C56" t="str">
            <v>HIS reporting and audit</v>
          </cell>
          <cell r="D56">
            <v>120</v>
          </cell>
          <cell r="E56" t="str">
            <v>ASM</v>
          </cell>
        </row>
        <row r="57">
          <cell r="B57" t="str">
            <v>Verbal autopsy: child assessment and reporting</v>
          </cell>
          <cell r="C57" t="str">
            <v>HIS reporting and audit</v>
          </cell>
          <cell r="D57">
            <v>60</v>
          </cell>
          <cell r="E57" t="str">
            <v>Binome</v>
          </cell>
        </row>
        <row r="58">
          <cell r="B58" t="str">
            <v>Verbal autopsy: child audit with HC</v>
          </cell>
          <cell r="C58" t="str">
            <v>HIS reporting and audit</v>
          </cell>
          <cell r="D58">
            <v>60</v>
          </cell>
          <cell r="E58" t="str">
            <v>Binome</v>
          </cell>
        </row>
        <row r="59">
          <cell r="B59" t="str">
            <v>General reporting (Minutes per week)-ASM</v>
          </cell>
          <cell r="C59" t="str">
            <v>HIS reporting and audit</v>
          </cell>
          <cell r="D59">
            <v>15</v>
          </cell>
          <cell r="E59" t="str">
            <v>ASM</v>
          </cell>
        </row>
        <row r="60">
          <cell r="B60" t="str">
            <v>General reporting (Minutes per week)-Binome</v>
          </cell>
          <cell r="C60" t="str">
            <v>HIS reporting and audit</v>
          </cell>
          <cell r="D60">
            <v>30</v>
          </cell>
          <cell r="E60" t="str">
            <v>Binome</v>
          </cell>
        </row>
        <row r="61">
          <cell r="B61">
            <v>0</v>
          </cell>
          <cell r="C61">
            <v>0</v>
          </cell>
          <cell r="D61">
            <v>0</v>
          </cell>
          <cell r="E61" t="str">
            <v/>
          </cell>
        </row>
        <row r="62">
          <cell r="B62" t="str">
            <v>Treatment adherence support (DOTS and ART)</v>
          </cell>
          <cell r="C62" t="str">
            <v>Non-Communicable Diseases and HIV</v>
          </cell>
          <cell r="D62">
            <v>30</v>
          </cell>
          <cell r="E62" t="str">
            <v>Binome</v>
          </cell>
        </row>
        <row r="63">
          <cell r="B63">
            <v>0</v>
          </cell>
          <cell r="C63">
            <v>0</v>
          </cell>
          <cell r="D63">
            <v>0</v>
          </cell>
          <cell r="E63">
            <v>0</v>
          </cell>
        </row>
        <row r="64">
          <cell r="B64">
            <v>0</v>
          </cell>
          <cell r="C64">
            <v>0</v>
          </cell>
          <cell r="D64">
            <v>0</v>
          </cell>
          <cell r="E64">
            <v>0</v>
          </cell>
        </row>
        <row r="65">
          <cell r="B65">
            <v>0</v>
          </cell>
          <cell r="C65">
            <v>0</v>
          </cell>
          <cell r="D65">
            <v>0</v>
          </cell>
          <cell r="E65">
            <v>0</v>
          </cell>
        </row>
        <row r="66">
          <cell r="B66">
            <v>0</v>
          </cell>
          <cell r="C66">
            <v>0</v>
          </cell>
          <cell r="D66">
            <v>0</v>
          </cell>
          <cell r="E66">
            <v>0</v>
          </cell>
        </row>
        <row r="67">
          <cell r="B67">
            <v>0</v>
          </cell>
          <cell r="C67">
            <v>0</v>
          </cell>
          <cell r="D67">
            <v>0</v>
          </cell>
          <cell r="E67">
            <v>0</v>
          </cell>
        </row>
        <row r="68">
          <cell r="B68">
            <v>0</v>
          </cell>
          <cell r="C68">
            <v>0</v>
          </cell>
          <cell r="D68">
            <v>0</v>
          </cell>
          <cell r="E68">
            <v>0</v>
          </cell>
        </row>
        <row r="69">
          <cell r="B69">
            <v>0</v>
          </cell>
          <cell r="C69">
            <v>0</v>
          </cell>
          <cell r="D69">
            <v>0</v>
          </cell>
          <cell r="E69">
            <v>0</v>
          </cell>
        </row>
        <row r="70">
          <cell r="B70">
            <v>0</v>
          </cell>
          <cell r="C70">
            <v>0</v>
          </cell>
          <cell r="D70">
            <v>0</v>
          </cell>
          <cell r="E70">
            <v>0</v>
          </cell>
        </row>
        <row r="71">
          <cell r="B71">
            <v>0</v>
          </cell>
          <cell r="C71">
            <v>0</v>
          </cell>
          <cell r="D71">
            <v>0</v>
          </cell>
          <cell r="E71">
            <v>0</v>
          </cell>
        </row>
        <row r="72">
          <cell r="B72">
            <v>0</v>
          </cell>
          <cell r="C72">
            <v>0</v>
          </cell>
          <cell r="D72">
            <v>0</v>
          </cell>
          <cell r="E72">
            <v>0</v>
          </cell>
        </row>
        <row r="73">
          <cell r="B73">
            <v>0</v>
          </cell>
          <cell r="C73">
            <v>0</v>
          </cell>
          <cell r="D73">
            <v>0</v>
          </cell>
          <cell r="E73">
            <v>0</v>
          </cell>
        </row>
        <row r="74">
          <cell r="B74">
            <v>0</v>
          </cell>
          <cell r="C74">
            <v>0</v>
          </cell>
          <cell r="D74">
            <v>0</v>
          </cell>
          <cell r="E74">
            <v>0</v>
          </cell>
        </row>
        <row r="75">
          <cell r="B75">
            <v>0</v>
          </cell>
          <cell r="C75">
            <v>0</v>
          </cell>
          <cell r="D75">
            <v>0</v>
          </cell>
          <cell r="E75">
            <v>0</v>
          </cell>
        </row>
        <row r="76">
          <cell r="B76">
            <v>0</v>
          </cell>
          <cell r="C76">
            <v>0</v>
          </cell>
          <cell r="D76">
            <v>0</v>
          </cell>
          <cell r="E76">
            <v>0</v>
          </cell>
        </row>
        <row r="77">
          <cell r="B77">
            <v>0</v>
          </cell>
          <cell r="C77">
            <v>0</v>
          </cell>
          <cell r="D77">
            <v>0</v>
          </cell>
          <cell r="E77">
            <v>0</v>
          </cell>
        </row>
        <row r="78">
          <cell r="B78">
            <v>0</v>
          </cell>
          <cell r="C78">
            <v>0</v>
          </cell>
          <cell r="D78">
            <v>0</v>
          </cell>
          <cell r="E78">
            <v>0</v>
          </cell>
        </row>
        <row r="79">
          <cell r="B79">
            <v>0</v>
          </cell>
          <cell r="C79">
            <v>0</v>
          </cell>
          <cell r="D79">
            <v>0</v>
          </cell>
          <cell r="E79">
            <v>0</v>
          </cell>
        </row>
        <row r="80">
          <cell r="B80">
            <v>0</v>
          </cell>
          <cell r="C80">
            <v>0</v>
          </cell>
          <cell r="D80">
            <v>0</v>
          </cell>
          <cell r="E80">
            <v>0</v>
          </cell>
        </row>
        <row r="81">
          <cell r="B81">
            <v>0</v>
          </cell>
          <cell r="C81">
            <v>0</v>
          </cell>
          <cell r="D81">
            <v>0</v>
          </cell>
          <cell r="E81">
            <v>0</v>
          </cell>
        </row>
        <row r="82">
          <cell r="B82">
            <v>0</v>
          </cell>
          <cell r="C82">
            <v>0</v>
          </cell>
          <cell r="D82">
            <v>0</v>
          </cell>
          <cell r="E82">
            <v>0</v>
          </cell>
        </row>
        <row r="83">
          <cell r="B83">
            <v>0</v>
          </cell>
          <cell r="C83">
            <v>0</v>
          </cell>
          <cell r="D83">
            <v>0</v>
          </cell>
          <cell r="E83" t="str">
            <v/>
          </cell>
        </row>
        <row r="84">
          <cell r="B84">
            <v>0</v>
          </cell>
          <cell r="C84">
            <v>0</v>
          </cell>
          <cell r="D84">
            <v>0</v>
          </cell>
          <cell r="E84" t="str">
            <v/>
          </cell>
        </row>
        <row r="85">
          <cell r="B85">
            <v>0</v>
          </cell>
          <cell r="C85">
            <v>0</v>
          </cell>
          <cell r="D85">
            <v>0</v>
          </cell>
          <cell r="E85" t="str">
            <v/>
          </cell>
        </row>
        <row r="86">
          <cell r="B86">
            <v>0</v>
          </cell>
          <cell r="C86">
            <v>0</v>
          </cell>
          <cell r="D86">
            <v>0</v>
          </cell>
          <cell r="E86" t="str">
            <v/>
          </cell>
        </row>
        <row r="87">
          <cell r="B87">
            <v>0</v>
          </cell>
          <cell r="C87">
            <v>0</v>
          </cell>
          <cell r="D87">
            <v>0</v>
          </cell>
          <cell r="E87" t="str">
            <v/>
          </cell>
        </row>
        <row r="88">
          <cell r="B88">
            <v>0</v>
          </cell>
          <cell r="C88">
            <v>0</v>
          </cell>
          <cell r="D88">
            <v>0</v>
          </cell>
          <cell r="E88" t="str">
            <v/>
          </cell>
        </row>
        <row r="89">
          <cell r="B89">
            <v>0</v>
          </cell>
          <cell r="C89">
            <v>0</v>
          </cell>
          <cell r="D89">
            <v>0</v>
          </cell>
          <cell r="E89" t="str">
            <v/>
          </cell>
        </row>
        <row r="90">
          <cell r="B90">
            <v>0</v>
          </cell>
          <cell r="C90">
            <v>0</v>
          </cell>
          <cell r="D90">
            <v>0</v>
          </cell>
          <cell r="E90" t="str">
            <v/>
          </cell>
        </row>
        <row r="91">
          <cell r="B91">
            <v>0</v>
          </cell>
          <cell r="C91">
            <v>0</v>
          </cell>
          <cell r="D91">
            <v>0</v>
          </cell>
          <cell r="E91" t="str">
            <v/>
          </cell>
        </row>
        <row r="92">
          <cell r="B92">
            <v>0</v>
          </cell>
          <cell r="C92">
            <v>0</v>
          </cell>
          <cell r="D92">
            <v>0</v>
          </cell>
          <cell r="E92" t="str">
            <v/>
          </cell>
        </row>
        <row r="93">
          <cell r="B93">
            <v>0</v>
          </cell>
          <cell r="C93">
            <v>0</v>
          </cell>
          <cell r="D93">
            <v>0</v>
          </cell>
          <cell r="E93" t="str">
            <v/>
          </cell>
        </row>
        <row r="94">
          <cell r="B94">
            <v>0</v>
          </cell>
          <cell r="C94">
            <v>0</v>
          </cell>
          <cell r="D94">
            <v>0</v>
          </cell>
          <cell r="E94" t="str">
            <v/>
          </cell>
        </row>
        <row r="95">
          <cell r="B95">
            <v>0</v>
          </cell>
          <cell r="C95">
            <v>0</v>
          </cell>
          <cell r="D95">
            <v>0</v>
          </cell>
          <cell r="E95" t="str">
            <v/>
          </cell>
        </row>
        <row r="96">
          <cell r="B96">
            <v>0</v>
          </cell>
          <cell r="C96">
            <v>0</v>
          </cell>
          <cell r="D96">
            <v>0</v>
          </cell>
          <cell r="E96" t="str">
            <v/>
          </cell>
        </row>
        <row r="97">
          <cell r="B97">
            <v>0</v>
          </cell>
          <cell r="C97">
            <v>0</v>
          </cell>
          <cell r="D97">
            <v>0</v>
          </cell>
          <cell r="E97" t="str">
            <v/>
          </cell>
        </row>
        <row r="98">
          <cell r="B98">
            <v>0</v>
          </cell>
          <cell r="C98">
            <v>0</v>
          </cell>
          <cell r="D98">
            <v>0</v>
          </cell>
          <cell r="E98" t="str">
            <v/>
          </cell>
        </row>
        <row r="99">
          <cell r="B99">
            <v>0</v>
          </cell>
          <cell r="C99">
            <v>0</v>
          </cell>
          <cell r="D99">
            <v>0</v>
          </cell>
          <cell r="E99" t="str">
            <v/>
          </cell>
        </row>
        <row r="100">
          <cell r="B100">
            <v>0</v>
          </cell>
          <cell r="C100">
            <v>0</v>
          </cell>
          <cell r="D100">
            <v>0</v>
          </cell>
          <cell r="E100" t="str">
            <v/>
          </cell>
        </row>
        <row r="101">
          <cell r="B101">
            <v>0</v>
          </cell>
          <cell r="C101">
            <v>0</v>
          </cell>
          <cell r="D101">
            <v>0</v>
          </cell>
          <cell r="E101" t="str">
            <v/>
          </cell>
        </row>
        <row r="102">
          <cell r="B102">
            <v>0</v>
          </cell>
          <cell r="C102">
            <v>0</v>
          </cell>
          <cell r="D102">
            <v>0</v>
          </cell>
          <cell r="E102" t="str">
            <v/>
          </cell>
        </row>
        <row r="103">
          <cell r="B103">
            <v>0</v>
          </cell>
          <cell r="C103">
            <v>0</v>
          </cell>
          <cell r="D103">
            <v>0</v>
          </cell>
          <cell r="E103" t="str">
            <v/>
          </cell>
        </row>
      </sheetData>
      <sheetData sheetId="25" refreshError="1"/>
      <sheetData sheetId="26"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8" Type="http://schemas.openxmlformats.org/officeDocument/2006/relationships/hyperlink" Target="http://esa.un.org/unpd/wpp/Download/Standard/Population/" TargetMode="External"/><Relationship Id="rId13" Type="http://schemas.openxmlformats.org/officeDocument/2006/relationships/hyperlink" Target="http://esa.un.org/unpd/wpp/Download/Standard/Population/" TargetMode="External"/><Relationship Id="rId18" Type="http://schemas.openxmlformats.org/officeDocument/2006/relationships/hyperlink" Target="http://esa.un.org/unpd/wpp/Download/Standard/Population/" TargetMode="External"/><Relationship Id="rId26" Type="http://schemas.openxmlformats.org/officeDocument/2006/relationships/hyperlink" Target="http://data.worldbank.org/indicator/SP.DYN.CBRT.IN" TargetMode="External"/><Relationship Id="rId3" Type="http://schemas.openxmlformats.org/officeDocument/2006/relationships/hyperlink" Target="http://esa.un.org/unpd/wpp/Download/Standard/Population/" TargetMode="External"/><Relationship Id="rId21" Type="http://schemas.openxmlformats.org/officeDocument/2006/relationships/hyperlink" Target="http://esa.un.org/unpd/wpp/Download/Standard/Population/" TargetMode="External"/><Relationship Id="rId7" Type="http://schemas.openxmlformats.org/officeDocument/2006/relationships/hyperlink" Target="http://esa.un.org/unpd/wpp/Download/Standard/Population/" TargetMode="External"/><Relationship Id="rId12" Type="http://schemas.openxmlformats.org/officeDocument/2006/relationships/hyperlink" Target="http://esa.un.org/unpd/wpp/Download/Standard/Population/" TargetMode="External"/><Relationship Id="rId17" Type="http://schemas.openxmlformats.org/officeDocument/2006/relationships/hyperlink" Target="http://esa.un.org/unpd/wpp/Download/Standard/Population/" TargetMode="External"/><Relationship Id="rId25" Type="http://schemas.openxmlformats.org/officeDocument/2006/relationships/hyperlink" Target="http://data.unicef.org/" TargetMode="External"/><Relationship Id="rId2" Type="http://schemas.openxmlformats.org/officeDocument/2006/relationships/hyperlink" Target="http://esa.un.org/unpd/wpp/Download/Standard/Population/" TargetMode="External"/><Relationship Id="rId16" Type="http://schemas.openxmlformats.org/officeDocument/2006/relationships/hyperlink" Target="http://esa.un.org/unpd/wpp/Download/Standard/Population/" TargetMode="External"/><Relationship Id="rId20" Type="http://schemas.openxmlformats.org/officeDocument/2006/relationships/hyperlink" Target="http://esa.un.org/unpd/wpp/Download/Standard/Population/" TargetMode="External"/><Relationship Id="rId29" Type="http://schemas.openxmlformats.org/officeDocument/2006/relationships/hyperlink" Target="http://www.imf.org/external/np/fin/ert/GUI/Pages/CountryDataBase.aspx" TargetMode="External"/><Relationship Id="rId1" Type="http://schemas.openxmlformats.org/officeDocument/2006/relationships/hyperlink" Target="http://esa.un.org/unpd/wpp/Download/Standard/Population/" TargetMode="External"/><Relationship Id="rId6" Type="http://schemas.openxmlformats.org/officeDocument/2006/relationships/hyperlink" Target="http://esa.un.org/unpd/wpp/Download/Standard/Population/" TargetMode="External"/><Relationship Id="rId11" Type="http://schemas.openxmlformats.org/officeDocument/2006/relationships/hyperlink" Target="http://esa.un.org/unpd/wpp/Download/Standard/Population/" TargetMode="External"/><Relationship Id="rId24" Type="http://schemas.openxmlformats.org/officeDocument/2006/relationships/hyperlink" Target="http://data.unicef.org/" TargetMode="External"/><Relationship Id="rId5" Type="http://schemas.openxmlformats.org/officeDocument/2006/relationships/hyperlink" Target="http://esa.un.org/unpd/wpp/Download/Standard/Population/" TargetMode="External"/><Relationship Id="rId15" Type="http://schemas.openxmlformats.org/officeDocument/2006/relationships/hyperlink" Target="http://esa.un.org/unpd/wpp/Download/Standard/Population/" TargetMode="External"/><Relationship Id="rId23" Type="http://schemas.openxmlformats.org/officeDocument/2006/relationships/hyperlink" Target="http://esa.un.org/unpd/wpp/Download/Standard/Population/" TargetMode="External"/><Relationship Id="rId28" Type="http://schemas.openxmlformats.org/officeDocument/2006/relationships/hyperlink" Target="http://esa.un.org/unpd/wpp/Download/Standard/Population/" TargetMode="External"/><Relationship Id="rId10" Type="http://schemas.openxmlformats.org/officeDocument/2006/relationships/hyperlink" Target="http://esa.un.org/unpd/wpp/Download/Standard/Population/" TargetMode="External"/><Relationship Id="rId19" Type="http://schemas.openxmlformats.org/officeDocument/2006/relationships/hyperlink" Target="http://esa.un.org/unpd/wpp/Download/Standard/Population/" TargetMode="External"/><Relationship Id="rId4" Type="http://schemas.openxmlformats.org/officeDocument/2006/relationships/hyperlink" Target="http://esa.un.org/unpd/wpp/Download/Standard/Population/" TargetMode="External"/><Relationship Id="rId9" Type="http://schemas.openxmlformats.org/officeDocument/2006/relationships/hyperlink" Target="http://esa.un.org/unpd/wpp/Download/Standard/Population/" TargetMode="External"/><Relationship Id="rId14" Type="http://schemas.openxmlformats.org/officeDocument/2006/relationships/hyperlink" Target="http://esa.un.org/unpd/wpp/Download/Standard/Population/" TargetMode="External"/><Relationship Id="rId22" Type="http://schemas.openxmlformats.org/officeDocument/2006/relationships/hyperlink" Target="http://esa.un.org/unpd/wpp/Download/Standard/Population/" TargetMode="External"/><Relationship Id="rId27" Type="http://schemas.openxmlformats.org/officeDocument/2006/relationships/hyperlink" Target="http://data.worldbank.org/indicator/SH.STA.MMRT" TargetMode="External"/><Relationship Id="rId30"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2.xml"/><Relationship Id="rId1" Type="http://schemas.openxmlformats.org/officeDocument/2006/relationships/printerSettings" Target="../printerSettings/printerSettings7.bin"/><Relationship Id="rId4" Type="http://schemas.openxmlformats.org/officeDocument/2006/relationships/comments" Target="../comments5.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L23"/>
  <sheetViews>
    <sheetView workbookViewId="0">
      <selection activeCell="J10" sqref="J10"/>
    </sheetView>
  </sheetViews>
  <sheetFormatPr defaultColWidth="8.84375" defaultRowHeight="14.6" x14ac:dyDescent="0.4"/>
  <cols>
    <col min="5" max="5" width="8.84375" customWidth="1"/>
  </cols>
  <sheetData>
    <row r="1" spans="2:12" s="1" customFormat="1" ht="15.65" customHeight="1" x14ac:dyDescent="0.4">
      <c r="B1" s="59" t="s">
        <v>60</v>
      </c>
      <c r="C1" s="60"/>
      <c r="D1" s="71"/>
      <c r="E1" s="61"/>
    </row>
    <row r="2" spans="2:12" s="1" customFormat="1" ht="15.65" customHeight="1" x14ac:dyDescent="0.4">
      <c r="B2" s="62"/>
      <c r="C2" s="67"/>
      <c r="D2" s="72"/>
      <c r="E2" s="65"/>
      <c r="G2" s="578" t="s">
        <v>1057</v>
      </c>
      <c r="H2" s="578"/>
      <c r="I2" s="578"/>
      <c r="J2" s="578"/>
    </row>
    <row r="3" spans="2:12" s="1" customFormat="1" ht="15.65" customHeight="1" x14ac:dyDescent="0.4">
      <c r="B3" s="62"/>
      <c r="C3" s="63" t="s">
        <v>61</v>
      </c>
      <c r="D3" s="64">
        <v>5</v>
      </c>
      <c r="E3" s="65"/>
      <c r="G3" s="578"/>
      <c r="H3" s="578"/>
      <c r="I3" s="578"/>
      <c r="J3" s="578"/>
    </row>
    <row r="4" spans="2:12" s="1" customFormat="1" ht="15.65" customHeight="1" x14ac:dyDescent="0.4">
      <c r="B4" s="62"/>
      <c r="C4" s="67"/>
      <c r="D4" s="72"/>
      <c r="E4" s="65"/>
      <c r="G4" s="578"/>
      <c r="H4" s="578"/>
      <c r="I4" s="578"/>
      <c r="J4" s="578"/>
    </row>
    <row r="5" spans="2:12" s="1" customFormat="1" ht="15.65" customHeight="1" x14ac:dyDescent="0.4">
      <c r="B5" s="62"/>
      <c r="C5" s="63" t="s">
        <v>62</v>
      </c>
      <c r="D5" s="73">
        <f ca="1">TODAY()</f>
        <v>43718</v>
      </c>
      <c r="E5" s="65"/>
    </row>
    <row r="6" spans="2:12" s="1" customFormat="1" ht="15.65" customHeight="1" x14ac:dyDescent="0.4">
      <c r="B6" s="62"/>
      <c r="C6" s="67"/>
      <c r="D6" s="72"/>
      <c r="E6" s="65"/>
    </row>
    <row r="7" spans="2:12" s="1" customFormat="1" ht="15.65" customHeight="1" x14ac:dyDescent="0.4">
      <c r="B7" s="62"/>
      <c r="C7" s="74" t="s">
        <v>63</v>
      </c>
      <c r="D7" s="75" t="s">
        <v>64</v>
      </c>
      <c r="E7" s="65"/>
    </row>
    <row r="8" spans="2:12" s="1" customFormat="1" ht="15.65" customHeight="1" x14ac:dyDescent="0.4">
      <c r="B8" s="62"/>
      <c r="C8" s="35" t="s">
        <v>65</v>
      </c>
      <c r="D8" s="76" t="s">
        <v>66</v>
      </c>
      <c r="E8" s="65"/>
    </row>
    <row r="9" spans="2:12" s="1" customFormat="1" ht="15.65" customHeight="1" x14ac:dyDescent="0.4">
      <c r="B9" s="62"/>
      <c r="C9" s="36" t="str">
        <f>"Population of "&amp;subnational_name&amp;" ("&amp;baseline_year&amp;")"</f>
        <v>Population of Example ()</v>
      </c>
      <c r="D9" s="77">
        <v>558942</v>
      </c>
      <c r="E9" s="65"/>
      <c r="F9" s="78"/>
      <c r="G9" s="78"/>
      <c r="H9" s="78"/>
      <c r="I9" s="78"/>
      <c r="J9" s="78"/>
      <c r="K9" s="78"/>
      <c r="L9" s="78"/>
    </row>
    <row r="10" spans="2:12" s="1" customFormat="1" ht="15.65" customHeight="1" x14ac:dyDescent="0.4">
      <c r="B10" s="62"/>
      <c r="C10" s="67"/>
      <c r="D10" s="67"/>
      <c r="E10" s="65"/>
    </row>
    <row r="11" spans="2:12" s="1" customFormat="1" ht="15.65" customHeight="1" x14ac:dyDescent="0.4">
      <c r="B11" s="62"/>
      <c r="C11" s="79" t="str">
        <f>"Will the program be scaled up within "&amp;length_of_program&amp;" years?"</f>
        <v>Will the program be scaled up within 5 years?</v>
      </c>
      <c r="D11" s="3" t="s">
        <v>64</v>
      </c>
      <c r="E11" s="65"/>
    </row>
    <row r="12" spans="2:12" s="1" customFormat="1" ht="15.65" customHeight="1" x14ac:dyDescent="0.4">
      <c r="B12" s="62"/>
      <c r="C12" s="67"/>
      <c r="D12" s="67"/>
      <c r="E12" s="65"/>
      <c r="F12" s="80"/>
      <c r="H12" s="80"/>
      <c r="I12" s="80"/>
      <c r="J12" s="80"/>
    </row>
    <row r="13" spans="2:12" s="1" customFormat="1" ht="15.65" customHeight="1" x14ac:dyDescent="0.4">
      <c r="B13" s="62"/>
      <c r="C13" s="79" t="s">
        <v>67</v>
      </c>
      <c r="D13" s="81" t="s">
        <v>68</v>
      </c>
      <c r="E13" s="65"/>
      <c r="H13" s="80"/>
      <c r="I13" s="80"/>
      <c r="J13" s="80"/>
    </row>
    <row r="14" spans="2:12" s="1" customFormat="1" ht="15.65" customHeight="1" x14ac:dyDescent="0.4">
      <c r="B14" s="62"/>
      <c r="C14" s="82" t="str">
        <f>IF(subnational="Y","What % of "&amp;subnational_name&amp;"'s population lives in urban areas?","What % of "&amp;selected_country&amp;"'s population lives in urban areas?")</f>
        <v>What % of 's population lives in urban areas?</v>
      </c>
      <c r="D14" s="83">
        <v>0.16</v>
      </c>
      <c r="E14" s="84"/>
      <c r="F14" s="80"/>
      <c r="G14" s="80"/>
      <c r="H14" s="80"/>
      <c r="I14" s="80"/>
      <c r="J14" s="80"/>
    </row>
    <row r="15" spans="2:12" s="1" customFormat="1" ht="15.65" customHeight="1" x14ac:dyDescent="0.4">
      <c r="B15" s="62"/>
      <c r="C15" s="85" t="str">
        <f>IF(subnational="Y","Urban Population of "&amp;subnational_name&amp;" ("&amp;baseline_year&amp;")","Urban Population of "&amp;selected_country&amp;" ("&amp;baseline_year&amp;")")</f>
        <v>Urban Population of  ()</v>
      </c>
      <c r="D15" s="86">
        <f>IF(subnational="Y",D14*subnat_pop,D14*national_pop)</f>
        <v>0</v>
      </c>
      <c r="E15" s="84"/>
      <c r="F15" s="80"/>
      <c r="G15" s="80"/>
      <c r="H15" s="80"/>
      <c r="I15" s="80"/>
      <c r="J15" s="80"/>
    </row>
    <row r="16" spans="2:12" s="1" customFormat="1" ht="15.65" customHeight="1" x14ac:dyDescent="0.4">
      <c r="B16" s="62"/>
      <c r="C16" s="82" t="str">
        <f>IF(subnational="Y","% of "&amp;subnational_name&amp;"'s population living in rural areas (calculated automatically)","% of "&amp;selected_country&amp;"'s population living in rural areas (calculated automatically)")</f>
        <v>% of 's population living in rural areas (calculated automatically)</v>
      </c>
      <c r="D16" s="87">
        <f>1-D14</f>
        <v>0.84</v>
      </c>
      <c r="E16" s="84"/>
      <c r="F16" s="80"/>
      <c r="G16" s="80"/>
      <c r="H16" s="80"/>
      <c r="I16" s="80"/>
      <c r="J16" s="80"/>
    </row>
    <row r="17" spans="2:11" s="1" customFormat="1" ht="15.65" customHeight="1" x14ac:dyDescent="0.4">
      <c r="B17" s="62"/>
      <c r="C17" s="88" t="str">
        <f>IF(subnational="Y","Rural Population of "&amp;subnational_name&amp;" ("&amp;baseline_year&amp;")","Rural Population of "&amp;selected_country&amp;" ("&amp;baseline_year&amp;")")</f>
        <v>Rural Population of  ()</v>
      </c>
      <c r="D17" s="89">
        <f>IF(subnational="Y",D16*subnat_pop,D16*national_pop)</f>
        <v>0</v>
      </c>
      <c r="E17" s="84"/>
      <c r="F17" s="80"/>
      <c r="G17" s="80"/>
      <c r="H17" s="80"/>
      <c r="I17" s="80"/>
      <c r="J17" s="80"/>
    </row>
    <row r="18" spans="2:11" s="1" customFormat="1" ht="15.65" customHeight="1" x14ac:dyDescent="0.4">
      <c r="B18" s="62"/>
      <c r="C18" s="67"/>
      <c r="D18" s="67"/>
      <c r="E18" s="65"/>
      <c r="F18" s="80"/>
      <c r="G18" s="80"/>
      <c r="H18" s="80"/>
      <c r="I18" s="80"/>
      <c r="J18" s="80"/>
    </row>
    <row r="19" spans="2:11" s="1" customFormat="1" ht="15.65" customHeight="1" x14ac:dyDescent="0.4">
      <c r="B19" s="62"/>
      <c r="C19" s="90" t="str">
        <f>IF(subnational="Y","Total population at baseline of "&amp;subnational_name&amp;"'s urban areas covered by CHWs:","Total population at baseline of "&amp;selected_country&amp;"'s urban areas covered by CHWs:")</f>
        <v>Total population at baseline of 's urban areas covered by CHWs:</v>
      </c>
      <c r="D19" s="91">
        <f>D15</f>
        <v>0</v>
      </c>
      <c r="E19" s="65"/>
      <c r="F19" s="80"/>
      <c r="G19" s="80"/>
      <c r="H19" s="80"/>
      <c r="I19" s="80"/>
      <c r="J19" s="80"/>
    </row>
    <row r="20" spans="2:11" s="1" customFormat="1" ht="15.65" customHeight="1" x14ac:dyDescent="0.4">
      <c r="B20" s="62"/>
      <c r="C20" s="85" t="str">
        <f>"% Total Urban Population covered by CHWs in "&amp;baseline_year</f>
        <v xml:space="preserve">% Total Urban Population covered by CHWs in </v>
      </c>
      <c r="D20" s="92">
        <f>IF(D15=0,0,D19/D15)</f>
        <v>0</v>
      </c>
      <c r="E20" s="65"/>
      <c r="F20" s="93" t="str">
        <f>IF(D20&gt;1,"Error - population covered by CHWs cannot exceed total urban population","")</f>
        <v/>
      </c>
      <c r="G20" s="80"/>
      <c r="H20" s="80"/>
      <c r="I20" s="80"/>
      <c r="J20" s="80"/>
    </row>
    <row r="21" spans="2:11" s="1" customFormat="1" ht="15.65" customHeight="1" x14ac:dyDescent="0.4">
      <c r="B21" s="62"/>
      <c r="C21" s="94" t="str">
        <f>IF(subnational="Y","Total population at baseline of "&amp;subnational_name&amp;"'s rural areas covered by CHWs:","Total population at baseline of "&amp;selected_country&amp;"'s rural areas covered by CHWs:")</f>
        <v>Total population at baseline of 's rural areas covered by CHWs:</v>
      </c>
      <c r="D21" s="95">
        <f>D17</f>
        <v>0</v>
      </c>
      <c r="E21" s="65"/>
      <c r="F21" s="96"/>
      <c r="G21" s="80"/>
      <c r="H21" s="80"/>
      <c r="I21" s="80"/>
      <c r="J21" s="80"/>
    </row>
    <row r="22" spans="2:11" s="1" customFormat="1" ht="15.65" customHeight="1" x14ac:dyDescent="0.4">
      <c r="B22" s="62"/>
      <c r="C22" s="88" t="str">
        <f>"% Total Rural Population covered by CHWs in "&amp;baseline_year</f>
        <v xml:space="preserve">% Total Rural Population covered by CHWs in </v>
      </c>
      <c r="D22" s="97">
        <f>IF(D17=0,0,D21/D17)</f>
        <v>0</v>
      </c>
      <c r="E22" s="65"/>
      <c r="F22" s="93" t="str">
        <f>IF(D22&gt;1,"Error - population covered by CHWs cannot exceed total rural population","")</f>
        <v/>
      </c>
      <c r="G22" s="80"/>
      <c r="H22" s="80"/>
      <c r="I22" s="80"/>
      <c r="J22" s="80"/>
    </row>
    <row r="23" spans="2:11" s="1" customFormat="1" ht="18.649999999999999" customHeight="1" x14ac:dyDescent="0.4">
      <c r="B23" s="62"/>
      <c r="C23" s="68" t="s">
        <v>59</v>
      </c>
      <c r="D23" s="69">
        <v>0</v>
      </c>
      <c r="E23" s="65"/>
      <c r="F23" s="66"/>
      <c r="G23" s="321"/>
      <c r="H23" s="321"/>
      <c r="I23" s="321"/>
      <c r="J23" s="321"/>
      <c r="K23" s="321"/>
    </row>
  </sheetData>
  <mergeCells count="1">
    <mergeCell ref="G2:J4"/>
  </mergeCells>
  <conditionalFormatting sqref="C10:D10 C8:C9">
    <cfRule type="expression" dxfId="187" priority="4">
      <formula>$D$22="N"</formula>
    </cfRule>
  </conditionalFormatting>
  <conditionalFormatting sqref="C19:D20">
    <cfRule type="expression" dxfId="186" priority="3">
      <formula>urban_rural_scenario=2</formula>
    </cfRule>
  </conditionalFormatting>
  <conditionalFormatting sqref="C21:D22">
    <cfRule type="expression" dxfId="185" priority="2">
      <formula>urban_rural_scenario=1</formula>
    </cfRule>
  </conditionalFormatting>
  <conditionalFormatting sqref="D8:D9">
    <cfRule type="expression" dxfId="184" priority="1">
      <formula>$D$22="N"</formula>
    </cfRule>
  </conditionalFormatting>
  <dataValidations count="6">
    <dataValidation type="whole" allowBlank="1" showInputMessage="1" showErrorMessage="1" sqref="D9" xr:uid="{00000000-0002-0000-0000-000000000000}">
      <formula1>0</formula1>
      <formula2>9.99999999999999E+21</formula2>
    </dataValidation>
    <dataValidation type="list" allowBlank="1" showInputMessage="1" showErrorMessage="1" sqref="D7" xr:uid="{00000000-0002-0000-0000-000001000000}">
      <formula1>"Y,N"</formula1>
    </dataValidation>
    <dataValidation type="list" allowBlank="1" showInputMessage="1" showErrorMessage="1" sqref="D3" xr:uid="{00000000-0002-0000-0000-000002000000}">
      <formula1>"1,2,3,4,5,6,7,8,9,10"</formula1>
    </dataValidation>
    <dataValidation type="list" allowBlank="1" showInputMessage="1" showErrorMessage="1" sqref="D11" xr:uid="{00000000-0002-0000-0000-000003000000}">
      <formula1>"Y, N"</formula1>
    </dataValidation>
    <dataValidation type="list" allowBlank="1" showInputMessage="1" showErrorMessage="1" sqref="D13" xr:uid="{00000000-0002-0000-0000-000004000000}">
      <formula1>"Only urban areas covered, Only rural areas covered, Rural and urban areas covered with same package, Rural and urban areas covered with different packages"</formula1>
    </dataValidation>
    <dataValidation type="decimal" allowBlank="1" showInputMessage="1" showErrorMessage="1" sqref="D14" xr:uid="{00000000-0002-0000-0000-000005000000}">
      <formula1>0</formula1>
      <formula2>1</formula2>
    </dataValidation>
  </dataValidations>
  <pageMargins left="0.7" right="0.7" top="0.75" bottom="0.75" header="0.3" footer="0.3"/>
  <pageSetup orientation="portrait" r:id="rId1"/>
  <legacy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0000"/>
  </sheetPr>
  <dimension ref="A1:V220"/>
  <sheetViews>
    <sheetView zoomScale="70" zoomScaleNormal="70" workbookViewId="0">
      <pane xSplit="2" ySplit="2" topLeftCell="C3" activePane="bottomRight" state="frozen"/>
      <selection activeCell="R44" sqref="R44"/>
      <selection pane="topRight" activeCell="R44" sqref="R44"/>
      <selection pane="bottomLeft" activeCell="R44" sqref="R44"/>
      <selection pane="bottomRight" sqref="A1:XFD1"/>
    </sheetView>
  </sheetViews>
  <sheetFormatPr defaultColWidth="8.84375" defaultRowHeight="14.6" x14ac:dyDescent="0.4"/>
  <cols>
    <col min="1" max="1" width="6" style="323" customWidth="1"/>
    <col min="2" max="2" width="31.3046875" style="323" customWidth="1"/>
    <col min="3" max="3" width="16.07421875" style="323" customWidth="1"/>
    <col min="4" max="4" width="17.4609375" style="515" customWidth="1"/>
    <col min="5" max="5" width="2.3046875" style="516" customWidth="1"/>
    <col min="6" max="6" width="13.84375" style="517" hidden="1" customWidth="1"/>
    <col min="7" max="7" width="12" style="518" hidden="1" customWidth="1"/>
    <col min="8" max="8" width="18.69140625" style="516" hidden="1" customWidth="1"/>
    <col min="9" max="9" width="18.69140625" style="517" hidden="1" customWidth="1"/>
    <col min="10" max="10" width="18.69140625" style="518" hidden="1" customWidth="1"/>
    <col min="11" max="11" width="11.4609375" style="519" customWidth="1"/>
    <col min="12" max="12" width="20.84375" style="516" hidden="1" customWidth="1"/>
    <col min="13" max="13" width="20.3046875" style="517" hidden="1" customWidth="1"/>
    <col min="14" max="14" width="19.3046875" style="518" hidden="1" customWidth="1"/>
    <col min="15" max="15" width="12.69140625" style="516" hidden="1" customWidth="1"/>
    <col min="16" max="16" width="14" style="517" hidden="1" customWidth="1"/>
    <col min="17" max="17" width="14" style="518" hidden="1" customWidth="1"/>
    <col min="18" max="18" width="13.07421875" style="519" customWidth="1"/>
    <col min="19" max="19" width="24.84375" style="520" customWidth="1"/>
    <col min="20" max="20" width="70.4609375" style="323" customWidth="1"/>
    <col min="21" max="21" width="20.07421875" style="323" customWidth="1"/>
    <col min="22" max="16384" width="8.84375" style="323"/>
  </cols>
  <sheetData>
    <row r="1" spans="1:22" ht="66" customHeight="1" x14ac:dyDescent="0.7">
      <c r="B1" s="521" t="s">
        <v>1554</v>
      </c>
      <c r="C1" s="322"/>
      <c r="D1" s="452" t="s">
        <v>1069</v>
      </c>
      <c r="E1" s="453" t="s">
        <v>1070</v>
      </c>
      <c r="F1" s="454" t="s">
        <v>1070</v>
      </c>
      <c r="G1" s="455" t="s">
        <v>1070</v>
      </c>
      <c r="H1" s="453" t="s">
        <v>1071</v>
      </c>
      <c r="I1" s="454" t="s">
        <v>1071</v>
      </c>
      <c r="J1" s="455" t="s">
        <v>1071</v>
      </c>
      <c r="K1" s="456" t="s">
        <v>1072</v>
      </c>
      <c r="L1" s="453" t="s">
        <v>1073</v>
      </c>
      <c r="M1" s="454" t="s">
        <v>1073</v>
      </c>
      <c r="N1" s="455" t="s">
        <v>1073</v>
      </c>
      <c r="O1" s="453" t="s">
        <v>1074</v>
      </c>
      <c r="P1" s="454" t="s">
        <v>1074</v>
      </c>
      <c r="Q1" s="455" t="s">
        <v>1074</v>
      </c>
      <c r="R1" s="456" t="s">
        <v>1072</v>
      </c>
      <c r="S1" s="612" t="s">
        <v>1075</v>
      </c>
      <c r="T1" s="169" t="s">
        <v>1076</v>
      </c>
      <c r="U1" s="322"/>
      <c r="V1" s="322"/>
    </row>
    <row r="2" spans="1:22" ht="40.5" customHeight="1" x14ac:dyDescent="0.4">
      <c r="A2" s="324" t="s">
        <v>1077</v>
      </c>
      <c r="B2" s="169" t="s">
        <v>1078</v>
      </c>
      <c r="C2" s="169" t="s">
        <v>1079</v>
      </c>
      <c r="D2" s="452"/>
      <c r="E2" s="453" t="s">
        <v>1080</v>
      </c>
      <c r="F2" s="457" t="s">
        <v>16</v>
      </c>
      <c r="G2" s="458" t="s">
        <v>25</v>
      </c>
      <c r="H2" s="453" t="s">
        <v>1080</v>
      </c>
      <c r="I2" s="457" t="s">
        <v>16</v>
      </c>
      <c r="J2" s="458" t="s">
        <v>25</v>
      </c>
      <c r="K2" s="456" t="s">
        <v>26</v>
      </c>
      <c r="L2" s="453" t="s">
        <v>1080</v>
      </c>
      <c r="M2" s="457" t="s">
        <v>16</v>
      </c>
      <c r="N2" s="458" t="s">
        <v>25</v>
      </c>
      <c r="O2" s="453" t="s">
        <v>1080</v>
      </c>
      <c r="P2" s="457" t="s">
        <v>16</v>
      </c>
      <c r="Q2" s="458" t="s">
        <v>25</v>
      </c>
      <c r="R2" s="456" t="s">
        <v>18</v>
      </c>
      <c r="S2" s="612"/>
      <c r="T2" s="459" t="s">
        <v>1081</v>
      </c>
      <c r="U2" s="322"/>
      <c r="V2" s="322"/>
    </row>
    <row r="3" spans="1:22" ht="79.400000000000006" customHeight="1" x14ac:dyDescent="0.4">
      <c r="A3" s="323">
        <v>1</v>
      </c>
      <c r="B3" s="322" t="s">
        <v>1082</v>
      </c>
      <c r="C3" s="322" t="s">
        <v>1083</v>
      </c>
      <c r="D3" s="460" t="s">
        <v>1084</v>
      </c>
      <c r="E3" s="461" t="s">
        <v>1085</v>
      </c>
      <c r="F3" s="462" t="s">
        <v>1086</v>
      </c>
      <c r="G3" s="463" t="s">
        <v>1087</v>
      </c>
      <c r="H3" s="461" t="s">
        <v>1085</v>
      </c>
      <c r="I3" s="464" t="s">
        <v>1088</v>
      </c>
      <c r="J3" s="463" t="s">
        <v>1085</v>
      </c>
      <c r="K3" s="465" t="s">
        <v>1089</v>
      </c>
      <c r="L3" s="461" t="s">
        <v>1090</v>
      </c>
      <c r="M3" s="462" t="s">
        <v>1091</v>
      </c>
      <c r="N3" s="463" t="s">
        <v>1092</v>
      </c>
      <c r="O3" s="461" t="s">
        <v>1091</v>
      </c>
      <c r="P3" s="462" t="s">
        <v>1093</v>
      </c>
      <c r="Q3" s="466" t="s">
        <v>1094</v>
      </c>
      <c r="R3" s="467" t="s">
        <v>1095</v>
      </c>
      <c r="S3" s="468" t="s">
        <v>1096</v>
      </c>
      <c r="T3" s="322" t="s">
        <v>1553</v>
      </c>
      <c r="U3" s="322"/>
      <c r="V3" s="322"/>
    </row>
    <row r="4" spans="1:22" ht="174.9" x14ac:dyDescent="0.4">
      <c r="A4" s="323">
        <v>2</v>
      </c>
      <c r="B4" s="322" t="s">
        <v>1097</v>
      </c>
      <c r="C4" s="322"/>
      <c r="D4" s="460" t="s">
        <v>1084</v>
      </c>
      <c r="E4" s="461" t="s">
        <v>1098</v>
      </c>
      <c r="F4" s="462" t="s">
        <v>1099</v>
      </c>
      <c r="G4" s="463" t="s">
        <v>1100</v>
      </c>
      <c r="H4" s="461" t="s">
        <v>1101</v>
      </c>
      <c r="I4" s="466" t="s">
        <v>1102</v>
      </c>
      <c r="J4" s="466" t="s">
        <v>1103</v>
      </c>
      <c r="K4" s="465" t="s">
        <v>1104</v>
      </c>
      <c r="L4" s="461" t="s">
        <v>1105</v>
      </c>
      <c r="M4" s="462" t="s">
        <v>1106</v>
      </c>
      <c r="N4" s="466" t="s">
        <v>1107</v>
      </c>
      <c r="O4" s="461" t="s">
        <v>1108</v>
      </c>
      <c r="P4" s="462" t="s">
        <v>1109</v>
      </c>
      <c r="Q4" s="463" t="s">
        <v>1110</v>
      </c>
      <c r="R4" s="467" t="s">
        <v>1111</v>
      </c>
      <c r="S4" s="469" t="s">
        <v>1112</v>
      </c>
      <c r="T4" s="322" t="s">
        <v>1113</v>
      </c>
      <c r="U4" s="322"/>
      <c r="V4" s="322"/>
    </row>
    <row r="5" spans="1:22" ht="122.25" customHeight="1" x14ac:dyDescent="0.4">
      <c r="A5" s="323">
        <v>3</v>
      </c>
      <c r="B5" s="322" t="s">
        <v>1114</v>
      </c>
      <c r="C5" s="322"/>
      <c r="D5" s="460" t="s">
        <v>1084</v>
      </c>
      <c r="E5" s="461" t="s">
        <v>1115</v>
      </c>
      <c r="F5" s="464" t="s">
        <v>1116</v>
      </c>
      <c r="G5" s="463" t="s">
        <v>1117</v>
      </c>
      <c r="H5" s="461" t="s">
        <v>1118</v>
      </c>
      <c r="I5" s="462" t="s">
        <v>1119</v>
      </c>
      <c r="J5" s="470" t="s">
        <v>1120</v>
      </c>
      <c r="K5" s="465" t="s">
        <v>1121</v>
      </c>
      <c r="L5" s="461" t="s">
        <v>1122</v>
      </c>
      <c r="M5" s="466" t="s">
        <v>1123</v>
      </c>
      <c r="N5" s="463" t="s">
        <v>1124</v>
      </c>
      <c r="O5" s="461" t="s">
        <v>1125</v>
      </c>
      <c r="P5" s="462" t="s">
        <v>1126</v>
      </c>
      <c r="Q5" s="463" t="s">
        <v>1124</v>
      </c>
      <c r="R5" s="467" t="s">
        <v>1111</v>
      </c>
      <c r="S5" s="471"/>
      <c r="T5" s="322" t="s">
        <v>1127</v>
      </c>
      <c r="U5" s="322"/>
      <c r="V5" s="322"/>
    </row>
    <row r="6" spans="1:22" ht="63" customHeight="1" x14ac:dyDescent="0.4">
      <c r="A6" s="323">
        <v>4</v>
      </c>
      <c r="B6" s="322" t="s">
        <v>1128</v>
      </c>
      <c r="C6" s="322"/>
      <c r="D6" s="472" t="s">
        <v>64</v>
      </c>
      <c r="E6" s="461" t="s">
        <v>1129</v>
      </c>
      <c r="F6" s="462" t="s">
        <v>1129</v>
      </c>
      <c r="G6" s="463" t="s">
        <v>1130</v>
      </c>
      <c r="H6" s="466" t="s">
        <v>1131</v>
      </c>
      <c r="I6" s="462" t="s">
        <v>1132</v>
      </c>
      <c r="J6" s="463" t="s">
        <v>1133</v>
      </c>
      <c r="K6" s="473" t="s">
        <v>1132</v>
      </c>
      <c r="L6" s="461" t="s">
        <v>1132</v>
      </c>
      <c r="M6" s="462" t="s">
        <v>1134</v>
      </c>
      <c r="N6" s="463" t="s">
        <v>1135</v>
      </c>
      <c r="O6" s="461" t="s">
        <v>1136</v>
      </c>
      <c r="P6" s="462" t="s">
        <v>1132</v>
      </c>
      <c r="Q6" s="463" t="s">
        <v>1137</v>
      </c>
      <c r="R6" s="472" t="s">
        <v>1132</v>
      </c>
      <c r="S6" s="468" t="s">
        <v>1138</v>
      </c>
      <c r="T6" s="322" t="s">
        <v>1139</v>
      </c>
      <c r="U6" s="322"/>
      <c r="V6" s="322"/>
    </row>
    <row r="7" spans="1:22" ht="67.400000000000006" customHeight="1" x14ac:dyDescent="0.4">
      <c r="A7" s="323">
        <v>5</v>
      </c>
      <c r="B7" s="322" t="s">
        <v>1140</v>
      </c>
      <c r="C7" s="322"/>
      <c r="D7" s="460" t="s">
        <v>1084</v>
      </c>
      <c r="E7" s="461" t="s">
        <v>1141</v>
      </c>
      <c r="F7" s="462" t="s">
        <v>1142</v>
      </c>
      <c r="G7" s="463" t="s">
        <v>1143</v>
      </c>
      <c r="H7" s="461" t="s">
        <v>1143</v>
      </c>
      <c r="I7" s="462" t="s">
        <v>1144</v>
      </c>
      <c r="J7" s="463" t="s">
        <v>1145</v>
      </c>
      <c r="K7" s="474" t="s">
        <v>1146</v>
      </c>
      <c r="L7" s="461"/>
      <c r="M7" s="462" t="s">
        <v>1147</v>
      </c>
      <c r="N7" s="463" t="s">
        <v>1148</v>
      </c>
      <c r="O7" s="461"/>
      <c r="P7" s="462" t="s">
        <v>1149</v>
      </c>
      <c r="Q7" s="463" t="s">
        <v>1150</v>
      </c>
      <c r="R7" s="467" t="s">
        <v>1151</v>
      </c>
      <c r="S7" s="471"/>
      <c r="T7" s="322"/>
      <c r="U7" s="322"/>
      <c r="V7" s="322"/>
    </row>
    <row r="8" spans="1:22" ht="110.15" customHeight="1" x14ac:dyDescent="0.4">
      <c r="A8" s="323" t="s">
        <v>1152</v>
      </c>
      <c r="B8" s="322" t="s">
        <v>1153</v>
      </c>
      <c r="C8" s="322"/>
      <c r="D8" s="460" t="s">
        <v>1084</v>
      </c>
      <c r="E8" s="461" t="s">
        <v>1154</v>
      </c>
      <c r="F8" s="462" t="s">
        <v>1155</v>
      </c>
      <c r="G8" s="463" t="s">
        <v>1156</v>
      </c>
      <c r="H8" s="461" t="s">
        <v>1143</v>
      </c>
      <c r="I8" s="462" t="s">
        <v>1157</v>
      </c>
      <c r="J8" s="463" t="s">
        <v>1158</v>
      </c>
      <c r="K8" s="465" t="s">
        <v>1159</v>
      </c>
      <c r="L8" s="461" t="s">
        <v>1160</v>
      </c>
      <c r="M8" s="462" t="s">
        <v>1161</v>
      </c>
      <c r="N8" s="463" t="s">
        <v>1162</v>
      </c>
      <c r="O8" s="461" t="s">
        <v>1163</v>
      </c>
      <c r="P8" s="462" t="s">
        <v>1164</v>
      </c>
      <c r="Q8" s="463" t="s">
        <v>1158</v>
      </c>
      <c r="R8" s="467" t="s">
        <v>1165</v>
      </c>
      <c r="S8" s="471"/>
      <c r="T8" s="322" t="s">
        <v>1166</v>
      </c>
      <c r="U8" s="322"/>
      <c r="V8" s="322"/>
    </row>
    <row r="9" spans="1:22" ht="28.5" customHeight="1" x14ac:dyDescent="0.4">
      <c r="A9" s="323" t="s">
        <v>1167</v>
      </c>
      <c r="B9" s="322" t="s">
        <v>1168</v>
      </c>
      <c r="C9" s="322"/>
      <c r="D9" s="472" t="s">
        <v>1169</v>
      </c>
      <c r="E9" s="461" t="s">
        <v>1170</v>
      </c>
      <c r="F9" s="462" t="s">
        <v>1145</v>
      </c>
      <c r="G9" s="463" t="s">
        <v>1171</v>
      </c>
      <c r="H9" s="461" t="s">
        <v>1172</v>
      </c>
      <c r="I9" s="462" t="s">
        <v>1173</v>
      </c>
      <c r="J9" s="463" t="s">
        <v>1174</v>
      </c>
      <c r="K9" s="473" t="s">
        <v>1175</v>
      </c>
      <c r="L9" s="461" t="s">
        <v>1176</v>
      </c>
      <c r="M9" s="462" t="s">
        <v>1173</v>
      </c>
      <c r="N9" s="463" t="s">
        <v>1177</v>
      </c>
      <c r="O9" s="461" t="s">
        <v>1178</v>
      </c>
      <c r="P9" s="462" t="s">
        <v>1179</v>
      </c>
      <c r="Q9" s="463" t="s">
        <v>1180</v>
      </c>
      <c r="R9" s="472" t="s">
        <v>1181</v>
      </c>
      <c r="S9" s="471"/>
      <c r="T9" s="322" t="s">
        <v>1182</v>
      </c>
      <c r="U9" s="322"/>
      <c r="V9" s="322"/>
    </row>
    <row r="10" spans="1:22" ht="74.25" customHeight="1" x14ac:dyDescent="0.4">
      <c r="A10" s="323" t="s">
        <v>1183</v>
      </c>
      <c r="B10" s="322" t="s">
        <v>1184</v>
      </c>
      <c r="C10" s="322"/>
      <c r="D10" s="472" t="s">
        <v>1169</v>
      </c>
      <c r="E10" s="461" t="s">
        <v>1170</v>
      </c>
      <c r="F10" s="462" t="s">
        <v>1185</v>
      </c>
      <c r="G10" s="463" t="s">
        <v>1186</v>
      </c>
      <c r="H10" s="461" t="s">
        <v>1172</v>
      </c>
      <c r="I10" s="462" t="s">
        <v>1187</v>
      </c>
      <c r="J10" s="463" t="s">
        <v>1188</v>
      </c>
      <c r="K10" s="473" t="s">
        <v>1189</v>
      </c>
      <c r="L10" s="461" t="s">
        <v>1190</v>
      </c>
      <c r="M10" s="462" t="s">
        <v>1191</v>
      </c>
      <c r="N10" s="463" t="s">
        <v>1192</v>
      </c>
      <c r="O10" s="461" t="s">
        <v>1193</v>
      </c>
      <c r="P10" s="462" t="s">
        <v>1194</v>
      </c>
      <c r="Q10" s="463" t="s">
        <v>1195</v>
      </c>
      <c r="R10" s="472" t="s">
        <v>1196</v>
      </c>
      <c r="S10" s="471"/>
      <c r="T10" s="322" t="s">
        <v>1197</v>
      </c>
      <c r="U10" s="322"/>
      <c r="V10" s="322"/>
    </row>
    <row r="11" spans="1:22" ht="72.900000000000006" x14ac:dyDescent="0.4">
      <c r="A11" s="323" t="s">
        <v>1198</v>
      </c>
      <c r="B11" s="322" t="s">
        <v>1199</v>
      </c>
      <c r="C11" s="322"/>
      <c r="D11" s="472" t="s">
        <v>1169</v>
      </c>
      <c r="E11" s="461" t="s">
        <v>1200</v>
      </c>
      <c r="F11" s="462" t="s">
        <v>1201</v>
      </c>
      <c r="G11" s="463" t="s">
        <v>396</v>
      </c>
      <c r="H11" s="461" t="s">
        <v>1143</v>
      </c>
      <c r="I11" s="462" t="s">
        <v>1202</v>
      </c>
      <c r="J11" s="463" t="s">
        <v>396</v>
      </c>
      <c r="K11" s="473" t="s">
        <v>1165</v>
      </c>
      <c r="L11" s="461" t="s">
        <v>1160</v>
      </c>
      <c r="M11" s="462" t="s">
        <v>1160</v>
      </c>
      <c r="N11" s="463" t="s">
        <v>1203</v>
      </c>
      <c r="O11" s="461" t="s">
        <v>1163</v>
      </c>
      <c r="P11" s="462" t="s">
        <v>1204</v>
      </c>
      <c r="Q11" s="463" t="s">
        <v>1203</v>
      </c>
      <c r="R11" s="472" t="s">
        <v>1205</v>
      </c>
      <c r="S11" s="471"/>
      <c r="T11" s="322" t="s">
        <v>1206</v>
      </c>
      <c r="U11" s="322"/>
      <c r="V11" s="322"/>
    </row>
    <row r="12" spans="1:22" ht="32.4" customHeight="1" x14ac:dyDescent="0.4">
      <c r="A12" s="323" t="s">
        <v>1207</v>
      </c>
      <c r="B12" s="322" t="s">
        <v>1208</v>
      </c>
      <c r="C12" s="322"/>
      <c r="D12" s="472" t="s">
        <v>1169</v>
      </c>
      <c r="E12" s="461" t="s">
        <v>1209</v>
      </c>
      <c r="F12" s="462" t="s">
        <v>1210</v>
      </c>
      <c r="G12" s="463" t="s">
        <v>1211</v>
      </c>
      <c r="H12" s="461" t="s">
        <v>1143</v>
      </c>
      <c r="I12" s="462" t="s">
        <v>1212</v>
      </c>
      <c r="J12" s="463" t="s">
        <v>1213</v>
      </c>
      <c r="K12" s="473" t="s">
        <v>1214</v>
      </c>
      <c r="L12" s="461" t="s">
        <v>1215</v>
      </c>
      <c r="M12" s="462" t="s">
        <v>1216</v>
      </c>
      <c r="N12" s="463" t="s">
        <v>1217</v>
      </c>
      <c r="O12" s="461" t="s">
        <v>1218</v>
      </c>
      <c r="P12" s="462" t="s">
        <v>1219</v>
      </c>
      <c r="Q12" s="463" t="s">
        <v>1220</v>
      </c>
      <c r="R12" s="472" t="s">
        <v>1221</v>
      </c>
      <c r="S12" s="471"/>
      <c r="T12" s="322" t="s">
        <v>1222</v>
      </c>
      <c r="U12" s="322"/>
      <c r="V12" s="322"/>
    </row>
    <row r="13" spans="1:22" ht="254.25" customHeight="1" x14ac:dyDescent="0.4">
      <c r="A13" s="323">
        <v>6</v>
      </c>
      <c r="B13" s="322" t="s">
        <v>1223</v>
      </c>
      <c r="C13" s="322" t="s">
        <v>1224</v>
      </c>
      <c r="D13" s="460" t="s">
        <v>1084</v>
      </c>
      <c r="E13" s="461" t="s">
        <v>1225</v>
      </c>
      <c r="F13" s="462" t="s">
        <v>1226</v>
      </c>
      <c r="G13" s="463" t="s">
        <v>1227</v>
      </c>
      <c r="H13" s="475" t="s">
        <v>1228</v>
      </c>
      <c r="I13" s="476" t="s">
        <v>1229</v>
      </c>
      <c r="J13" s="463" t="s">
        <v>1230</v>
      </c>
      <c r="K13" s="474" t="s">
        <v>1231</v>
      </c>
      <c r="L13" s="461" t="s">
        <v>1232</v>
      </c>
      <c r="M13" s="462" t="s">
        <v>1233</v>
      </c>
      <c r="N13" s="463" t="s">
        <v>1234</v>
      </c>
      <c r="O13" s="461" t="s">
        <v>1108</v>
      </c>
      <c r="P13" s="462" t="s">
        <v>1235</v>
      </c>
      <c r="Q13" s="463" t="s">
        <v>1236</v>
      </c>
      <c r="R13" s="467" t="s">
        <v>1237</v>
      </c>
      <c r="S13" s="468" t="s">
        <v>1238</v>
      </c>
      <c r="T13" s="322" t="s">
        <v>1239</v>
      </c>
      <c r="U13" s="322"/>
      <c r="V13" s="322"/>
    </row>
    <row r="14" spans="1:22" ht="64.5" customHeight="1" x14ac:dyDescent="0.4">
      <c r="A14" s="323">
        <v>7</v>
      </c>
      <c r="B14" s="322" t="s">
        <v>1240</v>
      </c>
      <c r="C14" s="322"/>
      <c r="D14" s="472" t="s">
        <v>1241</v>
      </c>
      <c r="E14" s="461" t="s">
        <v>396</v>
      </c>
      <c r="F14" s="466" t="s">
        <v>1242</v>
      </c>
      <c r="G14" s="463" t="s">
        <v>1243</v>
      </c>
      <c r="H14" s="461"/>
      <c r="I14" s="462" t="s">
        <v>1244</v>
      </c>
      <c r="J14" s="463" t="s">
        <v>1245</v>
      </c>
      <c r="K14" s="473" t="s">
        <v>1246</v>
      </c>
      <c r="L14" s="461" t="s">
        <v>1203</v>
      </c>
      <c r="M14" s="462" t="s">
        <v>1247</v>
      </c>
      <c r="N14" s="463" t="s">
        <v>1232</v>
      </c>
      <c r="O14" s="461" t="s">
        <v>1203</v>
      </c>
      <c r="P14" s="462" t="s">
        <v>1132</v>
      </c>
      <c r="Q14" s="463" t="s">
        <v>1248</v>
      </c>
      <c r="R14" s="472" t="s">
        <v>1249</v>
      </c>
      <c r="S14" s="471"/>
      <c r="T14" s="322" t="s">
        <v>1250</v>
      </c>
      <c r="U14" s="322" t="s">
        <v>1251</v>
      </c>
      <c r="V14" s="322"/>
    </row>
    <row r="15" spans="1:22" x14ac:dyDescent="0.4">
      <c r="A15" s="323">
        <v>8</v>
      </c>
      <c r="B15" s="322" t="s">
        <v>1252</v>
      </c>
      <c r="C15" s="322"/>
      <c r="D15" s="472"/>
      <c r="E15" s="461"/>
      <c r="F15" s="462"/>
      <c r="G15" s="463"/>
      <c r="H15" s="461" t="s">
        <v>1203</v>
      </c>
      <c r="I15" s="462"/>
      <c r="J15" s="463"/>
      <c r="K15" s="465" t="s">
        <v>1253</v>
      </c>
      <c r="L15" s="461"/>
      <c r="M15" s="462"/>
      <c r="N15" s="463"/>
      <c r="O15" s="461"/>
      <c r="P15" s="462"/>
      <c r="Q15" s="463"/>
      <c r="R15" s="467" t="s">
        <v>1254</v>
      </c>
      <c r="S15" s="471"/>
      <c r="T15" s="322"/>
      <c r="U15" s="322"/>
      <c r="V15" s="322"/>
    </row>
    <row r="16" spans="1:22" ht="87.45" x14ac:dyDescent="0.4">
      <c r="A16" s="323" t="s">
        <v>1255</v>
      </c>
      <c r="B16" s="322" t="s">
        <v>1256</v>
      </c>
      <c r="C16" s="322"/>
      <c r="D16" s="460" t="s">
        <v>1084</v>
      </c>
      <c r="E16" s="461" t="s">
        <v>1257</v>
      </c>
      <c r="F16" s="462"/>
      <c r="G16" s="463"/>
      <c r="H16" s="461" t="s">
        <v>1258</v>
      </c>
      <c r="I16" s="462"/>
      <c r="J16" s="463"/>
      <c r="K16" s="465" t="s">
        <v>1259</v>
      </c>
      <c r="L16" s="461" t="s">
        <v>1260</v>
      </c>
      <c r="M16" s="462"/>
      <c r="N16" s="463"/>
      <c r="O16" s="461" t="s">
        <v>1260</v>
      </c>
      <c r="P16" s="462"/>
      <c r="Q16" s="463"/>
      <c r="R16" s="467" t="s">
        <v>1254</v>
      </c>
      <c r="S16" s="471"/>
      <c r="T16" s="322"/>
      <c r="U16" s="322"/>
      <c r="V16" s="322"/>
    </row>
    <row r="17" spans="1:22" ht="87.45" x14ac:dyDescent="0.4">
      <c r="A17" s="323" t="s">
        <v>1261</v>
      </c>
      <c r="B17" s="322" t="s">
        <v>1262</v>
      </c>
      <c r="C17" s="322"/>
      <c r="D17" s="460" t="s">
        <v>1084</v>
      </c>
      <c r="E17" s="461" t="s">
        <v>1257</v>
      </c>
      <c r="F17" s="462"/>
      <c r="G17" s="463"/>
      <c r="H17" s="466" t="s">
        <v>1263</v>
      </c>
      <c r="I17" s="462"/>
      <c r="J17" s="463"/>
      <c r="K17" s="465" t="s">
        <v>1264</v>
      </c>
      <c r="L17" s="461" t="s">
        <v>1260</v>
      </c>
      <c r="M17" s="462"/>
      <c r="N17" s="463"/>
      <c r="O17" s="466" t="s">
        <v>1265</v>
      </c>
      <c r="P17" s="462"/>
      <c r="Q17" s="463"/>
      <c r="R17" s="467" t="s">
        <v>1266</v>
      </c>
      <c r="S17" s="471"/>
      <c r="T17" s="322" t="s">
        <v>1267</v>
      </c>
      <c r="U17" s="322"/>
      <c r="V17" s="322"/>
    </row>
    <row r="18" spans="1:22" ht="72.900000000000006" x14ac:dyDescent="0.4">
      <c r="A18" s="323" t="s">
        <v>1268</v>
      </c>
      <c r="B18" s="322" t="s">
        <v>1269</v>
      </c>
      <c r="C18" s="322"/>
      <c r="D18" s="472" t="s">
        <v>64</v>
      </c>
      <c r="E18" s="461" t="s">
        <v>1270</v>
      </c>
      <c r="F18" s="462"/>
      <c r="G18" s="463"/>
      <c r="H18" s="461" t="s">
        <v>1091</v>
      </c>
      <c r="I18" s="462"/>
      <c r="J18" s="463"/>
      <c r="K18" s="473" t="s">
        <v>1271</v>
      </c>
      <c r="L18" s="461" t="s">
        <v>1263</v>
      </c>
      <c r="M18" s="462"/>
      <c r="N18" s="463"/>
      <c r="O18" s="461" t="s">
        <v>1203</v>
      </c>
      <c r="P18" s="462"/>
      <c r="Q18" s="463"/>
      <c r="R18" s="472" t="s">
        <v>1270</v>
      </c>
      <c r="S18" s="471"/>
      <c r="T18" s="322" t="s">
        <v>1272</v>
      </c>
      <c r="U18" s="322"/>
      <c r="V18" s="322"/>
    </row>
    <row r="19" spans="1:22" ht="35.4" customHeight="1" x14ac:dyDescent="0.4">
      <c r="A19" s="323">
        <v>9</v>
      </c>
      <c r="B19" s="322" t="s">
        <v>1273</v>
      </c>
      <c r="C19" s="322"/>
      <c r="D19" s="460" t="s">
        <v>1084</v>
      </c>
      <c r="E19" s="461" t="s">
        <v>1257</v>
      </c>
      <c r="F19" s="462" t="s">
        <v>1274</v>
      </c>
      <c r="G19" s="463" t="s">
        <v>1257</v>
      </c>
      <c r="H19" s="461" t="s">
        <v>1258</v>
      </c>
      <c r="I19" s="462" t="s">
        <v>1257</v>
      </c>
      <c r="J19" s="463" t="s">
        <v>1260</v>
      </c>
      <c r="K19" s="465" t="s">
        <v>1275</v>
      </c>
      <c r="L19" s="461" t="s">
        <v>1260</v>
      </c>
      <c r="M19" s="466" t="s">
        <v>1276</v>
      </c>
      <c r="N19" s="466" t="s">
        <v>1277</v>
      </c>
      <c r="O19" s="461"/>
      <c r="P19" s="462" t="s">
        <v>1278</v>
      </c>
      <c r="Q19" s="463" t="s">
        <v>1279</v>
      </c>
      <c r="R19" s="467" t="s">
        <v>1275</v>
      </c>
      <c r="S19" s="471"/>
      <c r="T19" s="322" t="s">
        <v>1280</v>
      </c>
      <c r="U19" s="322"/>
      <c r="V19" s="322"/>
    </row>
    <row r="20" spans="1:22" x14ac:dyDescent="0.4">
      <c r="B20" s="322"/>
      <c r="C20" s="322"/>
      <c r="D20" s="472"/>
      <c r="E20" s="461"/>
      <c r="F20" s="462"/>
      <c r="G20" s="463"/>
      <c r="H20" s="461"/>
      <c r="I20" s="462"/>
      <c r="J20" s="463"/>
      <c r="K20" s="465"/>
      <c r="L20" s="461"/>
      <c r="M20" s="462"/>
      <c r="N20" s="463"/>
      <c r="O20" s="461"/>
      <c r="P20" s="462"/>
      <c r="Q20" s="463"/>
      <c r="R20" s="467"/>
      <c r="S20" s="471"/>
      <c r="T20" s="322"/>
      <c r="U20" s="322"/>
      <c r="V20" s="322"/>
    </row>
    <row r="21" spans="1:22" ht="15.9" x14ac:dyDescent="0.45">
      <c r="B21" s="477" t="s">
        <v>1281</v>
      </c>
      <c r="C21" s="322"/>
      <c r="D21" s="472"/>
      <c r="E21" s="461"/>
      <c r="F21" s="462"/>
      <c r="G21" s="463"/>
      <c r="H21" s="461"/>
      <c r="I21" s="462"/>
      <c r="J21" s="463"/>
      <c r="K21" s="465"/>
      <c r="L21" s="461"/>
      <c r="M21" s="462"/>
      <c r="N21" s="463"/>
      <c r="O21" s="461"/>
      <c r="P21" s="462"/>
      <c r="Q21" s="463"/>
      <c r="R21" s="467"/>
      <c r="S21" s="471"/>
      <c r="T21" s="322"/>
      <c r="U21" s="322"/>
      <c r="V21" s="322"/>
    </row>
    <row r="22" spans="1:22" ht="29.15" x14ac:dyDescent="0.4">
      <c r="A22" s="323" t="s">
        <v>1282</v>
      </c>
      <c r="B22" s="169" t="s">
        <v>1283</v>
      </c>
      <c r="C22" s="322"/>
      <c r="D22" s="472"/>
      <c r="E22" s="461"/>
      <c r="F22" s="462"/>
      <c r="G22" s="463"/>
      <c r="H22" s="461"/>
      <c r="I22" s="462"/>
      <c r="J22" s="463"/>
      <c r="K22" s="465"/>
      <c r="L22" s="461"/>
      <c r="M22" s="462"/>
      <c r="N22" s="463"/>
      <c r="O22" s="461"/>
      <c r="P22" s="462"/>
      <c r="Q22" s="463"/>
      <c r="R22" s="467"/>
      <c r="S22" s="471"/>
      <c r="T22" s="322"/>
      <c r="U22" s="322"/>
      <c r="V22" s="322"/>
    </row>
    <row r="23" spans="1:22" ht="105" customHeight="1" x14ac:dyDescent="0.4">
      <c r="A23" s="323" t="s">
        <v>1284</v>
      </c>
      <c r="B23" s="322" t="s">
        <v>1285</v>
      </c>
      <c r="C23" s="322" t="s">
        <v>1286</v>
      </c>
      <c r="D23" s="460" t="s">
        <v>1084</v>
      </c>
      <c r="E23" s="461" t="s">
        <v>1143</v>
      </c>
      <c r="F23" s="462"/>
      <c r="G23" s="463" t="s">
        <v>1150</v>
      </c>
      <c r="H23" s="461" t="s">
        <v>1143</v>
      </c>
      <c r="I23" s="462"/>
      <c r="J23" s="463" t="s">
        <v>1160</v>
      </c>
      <c r="K23" s="465" t="s">
        <v>1221</v>
      </c>
      <c r="L23" s="461" t="s">
        <v>1163</v>
      </c>
      <c r="M23" s="462"/>
      <c r="N23" s="463" t="s">
        <v>1287</v>
      </c>
      <c r="O23" s="461" t="s">
        <v>1160</v>
      </c>
      <c r="P23" s="462"/>
      <c r="Q23" s="463" t="s">
        <v>1160</v>
      </c>
      <c r="R23" s="478" t="s">
        <v>1221</v>
      </c>
      <c r="S23" s="479"/>
      <c r="T23" s="322" t="s">
        <v>1288</v>
      </c>
      <c r="U23" s="322"/>
      <c r="V23" s="322"/>
    </row>
    <row r="24" spans="1:22" ht="87.45" x14ac:dyDescent="0.4">
      <c r="A24" s="323" t="s">
        <v>1289</v>
      </c>
      <c r="B24" s="322" t="s">
        <v>1290</v>
      </c>
      <c r="C24" s="322" t="s">
        <v>1291</v>
      </c>
      <c r="D24" s="472" t="s">
        <v>1292</v>
      </c>
      <c r="E24" s="461" t="s">
        <v>1160</v>
      </c>
      <c r="F24" s="462"/>
      <c r="G24" s="463" t="s">
        <v>1160</v>
      </c>
      <c r="H24" s="461" t="s">
        <v>1163</v>
      </c>
      <c r="I24" s="462"/>
      <c r="J24" s="463" t="s">
        <v>1293</v>
      </c>
      <c r="K24" s="473" t="s">
        <v>1214</v>
      </c>
      <c r="L24" s="461" t="s">
        <v>1160</v>
      </c>
      <c r="M24" s="462"/>
      <c r="N24" s="463" t="s">
        <v>1294</v>
      </c>
      <c r="O24" s="461" t="s">
        <v>1295</v>
      </c>
      <c r="P24" s="462"/>
      <c r="Q24" s="463" t="s">
        <v>1296</v>
      </c>
      <c r="R24" s="473" t="s">
        <v>1214</v>
      </c>
      <c r="S24" s="479"/>
      <c r="T24" s="613" t="s">
        <v>1297</v>
      </c>
      <c r="U24" s="322"/>
      <c r="V24" s="322"/>
    </row>
    <row r="25" spans="1:22" ht="87.45" x14ac:dyDescent="0.4">
      <c r="A25" s="323" t="s">
        <v>1298</v>
      </c>
      <c r="B25" s="322" t="s">
        <v>1299</v>
      </c>
      <c r="C25" s="322" t="s">
        <v>1291</v>
      </c>
      <c r="D25" s="472" t="s">
        <v>1292</v>
      </c>
      <c r="E25" s="461" t="s">
        <v>1215</v>
      </c>
      <c r="F25" s="462"/>
      <c r="G25" s="463" t="s">
        <v>1215</v>
      </c>
      <c r="H25" s="461" t="s">
        <v>1300</v>
      </c>
      <c r="I25" s="462"/>
      <c r="J25" s="463" t="s">
        <v>1160</v>
      </c>
      <c r="K25" s="473" t="s">
        <v>1301</v>
      </c>
      <c r="L25" s="461" t="s">
        <v>1218</v>
      </c>
      <c r="M25" s="462"/>
      <c r="N25" s="463" t="s">
        <v>1215</v>
      </c>
      <c r="O25" s="461" t="s">
        <v>1295</v>
      </c>
      <c r="P25" s="462"/>
      <c r="Q25" s="463" t="s">
        <v>1302</v>
      </c>
      <c r="R25" s="473" t="s">
        <v>1301</v>
      </c>
      <c r="S25" s="479"/>
      <c r="T25" s="613"/>
      <c r="U25" s="322"/>
      <c r="V25" s="322"/>
    </row>
    <row r="26" spans="1:22" ht="87.45" x14ac:dyDescent="0.4">
      <c r="A26" s="323" t="s">
        <v>1303</v>
      </c>
      <c r="B26" s="322" t="s">
        <v>1304</v>
      </c>
      <c r="C26" s="322" t="s">
        <v>1291</v>
      </c>
      <c r="D26" s="472" t="s">
        <v>1292</v>
      </c>
      <c r="E26" s="461" t="s">
        <v>1143</v>
      </c>
      <c r="F26" s="462"/>
      <c r="G26" s="463" t="s">
        <v>1215</v>
      </c>
      <c r="H26" s="461" t="s">
        <v>1160</v>
      </c>
      <c r="I26" s="462"/>
      <c r="J26" s="463" t="s">
        <v>1160</v>
      </c>
      <c r="K26" s="473" t="s">
        <v>1221</v>
      </c>
      <c r="L26" s="461" t="s">
        <v>1218</v>
      </c>
      <c r="M26" s="462"/>
      <c r="N26" s="463" t="s">
        <v>1215</v>
      </c>
      <c r="O26" s="461" t="s">
        <v>1160</v>
      </c>
      <c r="P26" s="462"/>
      <c r="Q26" s="463" t="s">
        <v>1160</v>
      </c>
      <c r="R26" s="473" t="s">
        <v>1221</v>
      </c>
      <c r="S26" s="479"/>
      <c r="T26" s="613"/>
      <c r="U26" s="322"/>
      <c r="V26" s="322"/>
    </row>
    <row r="27" spans="1:22" ht="87.45" x14ac:dyDescent="0.4">
      <c r="A27" s="323" t="s">
        <v>1305</v>
      </c>
      <c r="B27" s="322" t="s">
        <v>1306</v>
      </c>
      <c r="C27" s="322" t="s">
        <v>1291</v>
      </c>
      <c r="D27" s="480" t="s">
        <v>1292</v>
      </c>
      <c r="E27" s="461" t="s">
        <v>1143</v>
      </c>
      <c r="F27" s="462"/>
      <c r="G27" s="463" t="s">
        <v>1307</v>
      </c>
      <c r="H27" s="461" t="s">
        <v>1218</v>
      </c>
      <c r="I27" s="462"/>
      <c r="J27" s="463" t="s">
        <v>1294</v>
      </c>
      <c r="K27" s="481" t="s">
        <v>1308</v>
      </c>
      <c r="L27" s="461" t="s">
        <v>1218</v>
      </c>
      <c r="M27" s="462"/>
      <c r="N27" s="463" t="s">
        <v>1309</v>
      </c>
      <c r="O27" s="461" t="s">
        <v>1160</v>
      </c>
      <c r="P27" s="462"/>
      <c r="Q27" s="463" t="s">
        <v>1218</v>
      </c>
      <c r="R27" s="481" t="s">
        <v>1165</v>
      </c>
      <c r="S27" s="479"/>
      <c r="T27" s="322" t="s">
        <v>1310</v>
      </c>
      <c r="U27" s="322"/>
      <c r="V27" s="322"/>
    </row>
    <row r="28" spans="1:22" ht="45.65" customHeight="1" x14ac:dyDescent="0.4">
      <c r="A28" s="323" t="s">
        <v>1311</v>
      </c>
      <c r="B28" s="322" t="s">
        <v>1312</v>
      </c>
      <c r="C28" s="322" t="s">
        <v>46</v>
      </c>
      <c r="D28" s="460" t="s">
        <v>1084</v>
      </c>
      <c r="E28" s="461" t="s">
        <v>1160</v>
      </c>
      <c r="F28" s="462"/>
      <c r="G28" s="463" t="s">
        <v>1313</v>
      </c>
      <c r="H28" s="461" t="s">
        <v>1143</v>
      </c>
      <c r="I28" s="462"/>
      <c r="J28" s="463" t="s">
        <v>1143</v>
      </c>
      <c r="K28" s="465" t="s">
        <v>1200</v>
      </c>
      <c r="L28" s="461" t="s">
        <v>1163</v>
      </c>
      <c r="M28" s="462"/>
      <c r="N28" s="463" t="s">
        <v>1314</v>
      </c>
      <c r="O28" s="461" t="s">
        <v>1218</v>
      </c>
      <c r="P28" s="462"/>
      <c r="Q28" s="463" t="s">
        <v>1315</v>
      </c>
      <c r="R28" s="465" t="s">
        <v>1205</v>
      </c>
      <c r="S28" s="479"/>
      <c r="T28" s="322" t="s">
        <v>1316</v>
      </c>
      <c r="U28" s="322"/>
      <c r="V28" s="322"/>
    </row>
    <row r="29" spans="1:22" ht="40.5" customHeight="1" x14ac:dyDescent="0.4">
      <c r="A29" s="323" t="s">
        <v>1317</v>
      </c>
      <c r="B29" s="322" t="s">
        <v>1318</v>
      </c>
      <c r="C29" s="322" t="s">
        <v>1319</v>
      </c>
      <c r="D29" s="460" t="s">
        <v>1084</v>
      </c>
      <c r="E29" s="461" t="s">
        <v>1315</v>
      </c>
      <c r="F29" s="462"/>
      <c r="G29" s="463" t="s">
        <v>1320</v>
      </c>
      <c r="H29" s="482" t="s">
        <v>1321</v>
      </c>
      <c r="I29" s="462"/>
      <c r="J29" s="463" t="s">
        <v>1320</v>
      </c>
      <c r="K29" s="465" t="s">
        <v>1322</v>
      </c>
      <c r="L29" s="461" t="s">
        <v>1323</v>
      </c>
      <c r="M29" s="462"/>
      <c r="N29" s="463" t="s">
        <v>1324</v>
      </c>
      <c r="O29" s="461" t="s">
        <v>1160</v>
      </c>
      <c r="P29" s="462"/>
      <c r="Q29" s="463" t="s">
        <v>1325</v>
      </c>
      <c r="R29" s="465" t="s">
        <v>1322</v>
      </c>
      <c r="S29" s="479"/>
      <c r="T29" s="322" t="s">
        <v>1326</v>
      </c>
      <c r="U29" s="322"/>
      <c r="V29" s="322"/>
    </row>
    <row r="30" spans="1:22" ht="39" customHeight="1" x14ac:dyDescent="0.4">
      <c r="A30" s="323" t="s">
        <v>1327</v>
      </c>
      <c r="B30" s="322" t="s">
        <v>1328</v>
      </c>
      <c r="C30" s="322" t="s">
        <v>1329</v>
      </c>
      <c r="D30" s="460" t="s">
        <v>1330</v>
      </c>
      <c r="E30" s="461" t="s">
        <v>1320</v>
      </c>
      <c r="F30" s="462"/>
      <c r="G30" s="463" t="s">
        <v>1320</v>
      </c>
      <c r="H30" s="461" t="s">
        <v>1320</v>
      </c>
      <c r="I30" s="462"/>
      <c r="J30" s="463" t="s">
        <v>1331</v>
      </c>
      <c r="K30" s="465" t="s">
        <v>1332</v>
      </c>
      <c r="L30" s="461" t="s">
        <v>1333</v>
      </c>
      <c r="M30" s="462"/>
      <c r="N30" s="463" t="s">
        <v>1334</v>
      </c>
      <c r="O30" s="461" t="s">
        <v>1331</v>
      </c>
      <c r="P30" s="462"/>
      <c r="Q30" s="463" t="s">
        <v>1325</v>
      </c>
      <c r="R30" s="465" t="s">
        <v>1332</v>
      </c>
      <c r="S30" s="479"/>
      <c r="T30" s="322"/>
      <c r="U30" s="322"/>
      <c r="V30" s="322"/>
    </row>
    <row r="31" spans="1:22" ht="58.5" customHeight="1" x14ac:dyDescent="0.4">
      <c r="A31" s="323" t="s">
        <v>1335</v>
      </c>
      <c r="B31" s="322" t="s">
        <v>1336</v>
      </c>
      <c r="C31" s="322" t="s">
        <v>1329</v>
      </c>
      <c r="D31" s="460" t="s">
        <v>1330</v>
      </c>
      <c r="E31" s="461" t="s">
        <v>1337</v>
      </c>
      <c r="F31" s="462"/>
      <c r="G31" s="463" t="s">
        <v>1333</v>
      </c>
      <c r="H31" s="461" t="s">
        <v>1163</v>
      </c>
      <c r="I31" s="462"/>
      <c r="J31" s="463" t="s">
        <v>1320</v>
      </c>
      <c r="K31" s="465" t="s">
        <v>1338</v>
      </c>
      <c r="L31" s="461" t="s">
        <v>1339</v>
      </c>
      <c r="M31" s="462"/>
      <c r="N31" s="463" t="s">
        <v>1339</v>
      </c>
      <c r="O31" s="461" t="s">
        <v>1325</v>
      </c>
      <c r="P31" s="462"/>
      <c r="Q31" s="463" t="s">
        <v>1340</v>
      </c>
      <c r="R31" s="465" t="s">
        <v>1338</v>
      </c>
      <c r="S31" s="479"/>
      <c r="T31" s="322" t="s">
        <v>1341</v>
      </c>
      <c r="U31" s="322"/>
      <c r="V31" s="322"/>
    </row>
    <row r="32" spans="1:22" ht="58.5" customHeight="1" x14ac:dyDescent="0.4">
      <c r="A32" s="323" t="s">
        <v>91</v>
      </c>
      <c r="B32" s="322" t="s">
        <v>1342</v>
      </c>
      <c r="C32" s="322" t="s">
        <v>1343</v>
      </c>
      <c r="D32" s="460" t="s">
        <v>1084</v>
      </c>
      <c r="E32" s="461" t="s">
        <v>1344</v>
      </c>
      <c r="F32" s="462"/>
      <c r="G32" s="463" t="s">
        <v>1345</v>
      </c>
      <c r="H32" s="461" t="s">
        <v>1346</v>
      </c>
      <c r="I32" s="462"/>
      <c r="J32" s="483" t="s">
        <v>1347</v>
      </c>
      <c r="K32" s="465" t="s">
        <v>1348</v>
      </c>
      <c r="L32" s="461" t="s">
        <v>1349</v>
      </c>
      <c r="M32" s="462"/>
      <c r="N32" s="466" t="s">
        <v>1350</v>
      </c>
      <c r="O32" s="461" t="s">
        <v>1351</v>
      </c>
      <c r="P32" s="462"/>
      <c r="Q32" s="466" t="s">
        <v>1352</v>
      </c>
      <c r="R32" s="465" t="s">
        <v>1348</v>
      </c>
      <c r="S32" s="484" t="s">
        <v>1353</v>
      </c>
      <c r="T32" s="322" t="s">
        <v>1354</v>
      </c>
      <c r="U32" s="322"/>
      <c r="V32" s="322"/>
    </row>
    <row r="33" spans="1:22" ht="44.15" thickBot="1" x14ac:dyDescent="0.45">
      <c r="A33" s="323" t="s">
        <v>1355</v>
      </c>
      <c r="B33" s="169" t="s">
        <v>1356</v>
      </c>
      <c r="C33" s="322"/>
      <c r="D33" s="472"/>
      <c r="E33" s="461"/>
      <c r="F33" s="462"/>
      <c r="G33" s="463"/>
      <c r="H33" s="461"/>
      <c r="I33" s="462"/>
      <c r="J33" s="463"/>
      <c r="K33" s="463"/>
      <c r="L33" s="461"/>
      <c r="M33" s="462"/>
      <c r="N33" s="463" t="s">
        <v>1203</v>
      </c>
      <c r="O33" s="461"/>
      <c r="P33" s="462"/>
      <c r="Q33" s="463"/>
      <c r="R33" s="463"/>
      <c r="S33" s="479"/>
      <c r="T33" s="322"/>
      <c r="U33" s="322"/>
      <c r="V33" s="322"/>
    </row>
    <row r="34" spans="1:22" s="485" customFormat="1" ht="87.9" thickBot="1" x14ac:dyDescent="0.45">
      <c r="A34" s="485" t="s">
        <v>1284</v>
      </c>
      <c r="B34" s="486" t="s">
        <v>1357</v>
      </c>
      <c r="C34" s="487" t="s">
        <v>1358</v>
      </c>
      <c r="D34" s="488" t="s">
        <v>1084</v>
      </c>
      <c r="E34" s="489" t="s">
        <v>1143</v>
      </c>
      <c r="F34" s="490" t="s">
        <v>1359</v>
      </c>
      <c r="G34" s="491"/>
      <c r="H34" s="489" t="s">
        <v>1215</v>
      </c>
      <c r="I34" s="490" t="s">
        <v>1360</v>
      </c>
      <c r="J34" s="491"/>
      <c r="K34" s="492" t="s">
        <v>1175</v>
      </c>
      <c r="L34" s="489" t="s">
        <v>1143</v>
      </c>
      <c r="M34" s="490" t="s">
        <v>1361</v>
      </c>
      <c r="N34" s="491"/>
      <c r="O34" s="489" t="s">
        <v>1160</v>
      </c>
      <c r="P34" s="490" t="s">
        <v>1359</v>
      </c>
      <c r="Q34" s="491"/>
      <c r="R34" s="492" t="s">
        <v>1175</v>
      </c>
      <c r="S34" s="493"/>
      <c r="T34" s="486" t="s">
        <v>1362</v>
      </c>
      <c r="U34" s="486"/>
      <c r="V34" s="486"/>
    </row>
    <row r="35" spans="1:22" ht="102.45" thickBot="1" x14ac:dyDescent="0.45">
      <c r="A35" s="323" t="s">
        <v>1289</v>
      </c>
      <c r="B35" s="322" t="s">
        <v>1363</v>
      </c>
      <c r="C35" s="494" t="s">
        <v>1358</v>
      </c>
      <c r="D35" s="495" t="s">
        <v>1084</v>
      </c>
      <c r="E35" s="461" t="s">
        <v>1172</v>
      </c>
      <c r="F35" s="462" t="s">
        <v>1364</v>
      </c>
      <c r="G35" s="463"/>
      <c r="H35" s="461" t="s">
        <v>1160</v>
      </c>
      <c r="I35" s="462" t="s">
        <v>1160</v>
      </c>
      <c r="J35" s="463"/>
      <c r="K35" s="465" t="s">
        <v>1365</v>
      </c>
      <c r="L35" s="461" t="s">
        <v>1216</v>
      </c>
      <c r="M35" s="462" t="s">
        <v>1215</v>
      </c>
      <c r="N35" s="463"/>
      <c r="O35" s="461" t="s">
        <v>1215</v>
      </c>
      <c r="P35" s="462" t="s">
        <v>1366</v>
      </c>
      <c r="Q35" s="463"/>
      <c r="R35" s="465" t="s">
        <v>1365</v>
      </c>
      <c r="S35" s="479"/>
      <c r="T35" s="322" t="s">
        <v>1367</v>
      </c>
      <c r="U35" s="322"/>
      <c r="V35" s="322"/>
    </row>
    <row r="36" spans="1:22" ht="87.9" thickBot="1" x14ac:dyDescent="0.45">
      <c r="A36" s="323" t="s">
        <v>1298</v>
      </c>
      <c r="B36" s="322" t="s">
        <v>1368</v>
      </c>
      <c r="C36" s="494" t="s">
        <v>1358</v>
      </c>
      <c r="D36" s="495" t="s">
        <v>1084</v>
      </c>
      <c r="E36" s="461" t="s">
        <v>1216</v>
      </c>
      <c r="F36" s="462" t="s">
        <v>1369</v>
      </c>
      <c r="G36" s="463"/>
      <c r="H36" s="461" t="s">
        <v>1215</v>
      </c>
      <c r="I36" s="462" t="s">
        <v>1216</v>
      </c>
      <c r="J36" s="463"/>
      <c r="K36" s="465" t="s">
        <v>1221</v>
      </c>
      <c r="L36" s="461" t="s">
        <v>1176</v>
      </c>
      <c r="M36" s="462" t="s">
        <v>1370</v>
      </c>
      <c r="N36" s="463"/>
      <c r="O36" s="461" t="s">
        <v>1215</v>
      </c>
      <c r="P36" s="462" t="s">
        <v>1174</v>
      </c>
      <c r="Q36" s="463"/>
      <c r="R36" s="465" t="s">
        <v>1221</v>
      </c>
      <c r="S36" s="479"/>
      <c r="T36" s="322" t="s">
        <v>1367</v>
      </c>
      <c r="U36" s="322"/>
      <c r="V36" s="322"/>
    </row>
    <row r="37" spans="1:22" ht="87.9" thickBot="1" x14ac:dyDescent="0.45">
      <c r="A37" s="323" t="s">
        <v>1303</v>
      </c>
      <c r="B37" s="322" t="s">
        <v>1371</v>
      </c>
      <c r="C37" s="494" t="s">
        <v>1358</v>
      </c>
      <c r="D37" s="495" t="s">
        <v>1084</v>
      </c>
      <c r="E37" s="461" t="s">
        <v>1160</v>
      </c>
      <c r="F37" s="462" t="s">
        <v>1372</v>
      </c>
      <c r="G37" s="463"/>
      <c r="H37" s="466" t="s">
        <v>1172</v>
      </c>
      <c r="I37" s="462" t="s">
        <v>1366</v>
      </c>
      <c r="J37" s="463"/>
      <c r="K37" s="465" t="s">
        <v>1373</v>
      </c>
      <c r="L37" s="461" t="s">
        <v>1143</v>
      </c>
      <c r="M37" s="462" t="s">
        <v>1366</v>
      </c>
      <c r="N37" s="463"/>
      <c r="O37" s="461" t="s">
        <v>1143</v>
      </c>
      <c r="P37" s="462" t="s">
        <v>1374</v>
      </c>
      <c r="Q37" s="463"/>
      <c r="R37" s="465" t="s">
        <v>1373</v>
      </c>
      <c r="S37" s="479"/>
      <c r="T37" s="322" t="s">
        <v>1375</v>
      </c>
      <c r="U37" s="322"/>
      <c r="V37" s="322"/>
    </row>
    <row r="38" spans="1:22" ht="160.75" thickBot="1" x14ac:dyDescent="0.45">
      <c r="A38" s="323" t="s">
        <v>1305</v>
      </c>
      <c r="B38" s="322" t="s">
        <v>1376</v>
      </c>
      <c r="C38" s="494" t="s">
        <v>1358</v>
      </c>
      <c r="D38" s="495" t="s">
        <v>1084</v>
      </c>
      <c r="E38" s="461" t="s">
        <v>1315</v>
      </c>
      <c r="F38" s="462" t="s">
        <v>1332</v>
      </c>
      <c r="G38" s="463"/>
      <c r="H38" s="461" t="s">
        <v>1315</v>
      </c>
      <c r="I38" s="466" t="s">
        <v>1377</v>
      </c>
      <c r="J38" s="463"/>
      <c r="K38" s="465" t="s">
        <v>1378</v>
      </c>
      <c r="L38" s="461" t="s">
        <v>1333</v>
      </c>
      <c r="M38" s="462" t="s">
        <v>1163</v>
      </c>
      <c r="N38" s="463"/>
      <c r="O38" s="461" t="s">
        <v>1320</v>
      </c>
      <c r="P38" s="462" t="s">
        <v>1379</v>
      </c>
      <c r="Q38" s="463"/>
      <c r="R38" s="496" t="s">
        <v>1380</v>
      </c>
      <c r="S38" s="479"/>
      <c r="T38" s="322"/>
      <c r="U38" s="322"/>
      <c r="V38" s="322"/>
    </row>
    <row r="39" spans="1:22" ht="44.4" customHeight="1" thickBot="1" x14ac:dyDescent="0.45">
      <c r="A39" s="323" t="s">
        <v>1311</v>
      </c>
      <c r="B39" s="322" t="s">
        <v>1381</v>
      </c>
      <c r="C39" s="494" t="s">
        <v>1358</v>
      </c>
      <c r="D39" s="495" t="s">
        <v>1084</v>
      </c>
      <c r="E39" s="461" t="s">
        <v>1172</v>
      </c>
      <c r="F39" s="462" t="s">
        <v>1369</v>
      </c>
      <c r="G39" s="463"/>
      <c r="H39" s="461" t="s">
        <v>1160</v>
      </c>
      <c r="I39" s="462" t="s">
        <v>1160</v>
      </c>
      <c r="J39" s="463"/>
      <c r="K39" s="465" t="s">
        <v>1205</v>
      </c>
      <c r="L39" s="461" t="s">
        <v>1143</v>
      </c>
      <c r="M39" s="462" t="s">
        <v>1143</v>
      </c>
      <c r="N39" s="463"/>
      <c r="O39" s="461" t="s">
        <v>1218</v>
      </c>
      <c r="P39" s="462" t="s">
        <v>1382</v>
      </c>
      <c r="Q39" s="463"/>
      <c r="R39" s="465" t="s">
        <v>1205</v>
      </c>
      <c r="S39" s="479"/>
      <c r="T39" s="322" t="s">
        <v>1383</v>
      </c>
      <c r="U39" s="322"/>
      <c r="V39" s="322"/>
    </row>
    <row r="40" spans="1:22" ht="102.45" thickBot="1" x14ac:dyDescent="0.45">
      <c r="A40" s="323" t="s">
        <v>1317</v>
      </c>
      <c r="B40" s="322" t="s">
        <v>1384</v>
      </c>
      <c r="C40" s="494" t="s">
        <v>1358</v>
      </c>
      <c r="D40" s="495" t="s">
        <v>1084</v>
      </c>
      <c r="E40" s="461" t="s">
        <v>1172</v>
      </c>
      <c r="F40" s="462" t="s">
        <v>1172</v>
      </c>
      <c r="G40" s="463"/>
      <c r="H40" s="461" t="s">
        <v>1215</v>
      </c>
      <c r="I40" s="462" t="s">
        <v>1160</v>
      </c>
      <c r="J40" s="463"/>
      <c r="K40" s="465" t="s">
        <v>1205</v>
      </c>
      <c r="L40" s="461" t="s">
        <v>1143</v>
      </c>
      <c r="M40" s="462" t="s">
        <v>1215</v>
      </c>
      <c r="N40" s="463"/>
      <c r="O40" s="461" t="s">
        <v>1218</v>
      </c>
      <c r="P40" s="462" t="s">
        <v>1369</v>
      </c>
      <c r="Q40" s="463"/>
      <c r="R40" s="465" t="s">
        <v>1205</v>
      </c>
      <c r="S40" s="479"/>
      <c r="T40" s="322" t="s">
        <v>1385</v>
      </c>
      <c r="U40" s="322"/>
      <c r="V40" s="322"/>
    </row>
    <row r="41" spans="1:22" ht="102.45" thickBot="1" x14ac:dyDescent="0.45">
      <c r="A41" s="323" t="s">
        <v>1327</v>
      </c>
      <c r="B41" s="322" t="s">
        <v>1386</v>
      </c>
      <c r="C41" s="494" t="s">
        <v>1358</v>
      </c>
      <c r="D41" s="495" t="s">
        <v>1084</v>
      </c>
      <c r="E41" s="461" t="s">
        <v>1387</v>
      </c>
      <c r="F41" s="462" t="s">
        <v>1369</v>
      </c>
      <c r="G41" s="463"/>
      <c r="H41" s="461" t="s">
        <v>1215</v>
      </c>
      <c r="I41" s="462" t="s">
        <v>1388</v>
      </c>
      <c r="J41" s="463"/>
      <c r="K41" s="465" t="s">
        <v>1389</v>
      </c>
      <c r="L41" s="461" t="s">
        <v>1216</v>
      </c>
      <c r="M41" s="462" t="s">
        <v>1143</v>
      </c>
      <c r="N41" s="463"/>
      <c r="O41" s="461" t="s">
        <v>1215</v>
      </c>
      <c r="P41" s="462" t="s">
        <v>1390</v>
      </c>
      <c r="Q41" s="463"/>
      <c r="R41" s="465" t="s">
        <v>1389</v>
      </c>
      <c r="S41" s="479"/>
      <c r="T41" s="322" t="s">
        <v>1391</v>
      </c>
      <c r="U41" s="322"/>
      <c r="V41" s="322"/>
    </row>
    <row r="42" spans="1:22" ht="102.45" thickBot="1" x14ac:dyDescent="0.45">
      <c r="A42" s="323" t="s">
        <v>1335</v>
      </c>
      <c r="B42" s="322" t="s">
        <v>1392</v>
      </c>
      <c r="C42" s="494" t="s">
        <v>1358</v>
      </c>
      <c r="D42" s="495" t="s">
        <v>1084</v>
      </c>
      <c r="E42" s="461" t="s">
        <v>1387</v>
      </c>
      <c r="F42" s="462" t="s">
        <v>1359</v>
      </c>
      <c r="G42" s="463"/>
      <c r="H42" s="461" t="s">
        <v>1143</v>
      </c>
      <c r="I42" s="462" t="s">
        <v>1215</v>
      </c>
      <c r="J42" s="463"/>
      <c r="K42" s="465" t="s">
        <v>1389</v>
      </c>
      <c r="L42" s="461" t="s">
        <v>1143</v>
      </c>
      <c r="M42" s="462" t="s">
        <v>1143</v>
      </c>
      <c r="N42" s="463"/>
      <c r="O42" s="461" t="s">
        <v>1215</v>
      </c>
      <c r="P42" s="462" t="s">
        <v>1172</v>
      </c>
      <c r="Q42" s="463"/>
      <c r="R42" s="465" t="s">
        <v>1389</v>
      </c>
      <c r="S42" s="479"/>
      <c r="T42" s="322" t="s">
        <v>1391</v>
      </c>
      <c r="U42" s="322"/>
      <c r="V42" s="322"/>
    </row>
    <row r="43" spans="1:22" ht="102.45" thickBot="1" x14ac:dyDescent="0.45">
      <c r="A43" s="323" t="s">
        <v>91</v>
      </c>
      <c r="B43" s="322" t="s">
        <v>1393</v>
      </c>
      <c r="C43" s="494" t="s">
        <v>1358</v>
      </c>
      <c r="D43" s="495" t="s">
        <v>1084</v>
      </c>
      <c r="E43" s="461" t="s">
        <v>1387</v>
      </c>
      <c r="F43" s="462" t="s">
        <v>1216</v>
      </c>
      <c r="G43" s="463"/>
      <c r="H43" s="461" t="s">
        <v>1160</v>
      </c>
      <c r="I43" s="462" t="s">
        <v>1160</v>
      </c>
      <c r="J43" s="463"/>
      <c r="K43" s="465" t="s">
        <v>1389</v>
      </c>
      <c r="L43" s="461" t="s">
        <v>1143</v>
      </c>
      <c r="M43" s="462" t="s">
        <v>1287</v>
      </c>
      <c r="N43" s="463"/>
      <c r="O43" s="461" t="s">
        <v>1215</v>
      </c>
      <c r="P43" s="462" t="s">
        <v>1143</v>
      </c>
      <c r="Q43" s="463"/>
      <c r="R43" s="465" t="s">
        <v>1389</v>
      </c>
      <c r="S43" s="479"/>
      <c r="T43" s="322" t="s">
        <v>1394</v>
      </c>
      <c r="U43" s="322"/>
      <c r="V43" s="322"/>
    </row>
    <row r="44" spans="1:22" ht="87.9" thickBot="1" x14ac:dyDescent="0.45">
      <c r="A44" s="323" t="s">
        <v>1395</v>
      </c>
      <c r="B44" s="322" t="s">
        <v>1396</v>
      </c>
      <c r="C44" s="494" t="s">
        <v>1397</v>
      </c>
      <c r="D44" s="460" t="s">
        <v>1330</v>
      </c>
      <c r="E44" s="461" t="s">
        <v>1163</v>
      </c>
      <c r="F44" s="462" t="s">
        <v>1320</v>
      </c>
      <c r="G44" s="463"/>
      <c r="H44" s="461" t="s">
        <v>1333</v>
      </c>
      <c r="I44" s="462" t="s">
        <v>1398</v>
      </c>
      <c r="J44" s="463"/>
      <c r="K44" s="465" t="s">
        <v>1159</v>
      </c>
      <c r="L44" s="461" t="s">
        <v>1160</v>
      </c>
      <c r="M44" s="462" t="s">
        <v>1320</v>
      </c>
      <c r="N44" s="463"/>
      <c r="O44" s="461" t="s">
        <v>1163</v>
      </c>
      <c r="P44" s="462" t="s">
        <v>1333</v>
      </c>
      <c r="Q44" s="463"/>
      <c r="R44" s="465" t="s">
        <v>1159</v>
      </c>
      <c r="S44" s="479"/>
      <c r="T44" s="322" t="s">
        <v>1399</v>
      </c>
      <c r="U44" s="322"/>
      <c r="V44" s="322"/>
    </row>
    <row r="45" spans="1:22" ht="146.15" thickBot="1" x14ac:dyDescent="0.45">
      <c r="A45" s="323" t="s">
        <v>1400</v>
      </c>
      <c r="B45" s="322" t="s">
        <v>1401</v>
      </c>
      <c r="C45" s="494" t="s">
        <v>1358</v>
      </c>
      <c r="D45" s="460" t="s">
        <v>1330</v>
      </c>
      <c r="E45" s="461" t="s">
        <v>1217</v>
      </c>
      <c r="F45" s="462" t="s">
        <v>1143</v>
      </c>
      <c r="G45" s="463"/>
      <c r="H45" s="466" t="s">
        <v>1315</v>
      </c>
      <c r="I45" s="462" t="s">
        <v>1307</v>
      </c>
      <c r="J45" s="463"/>
      <c r="K45" s="465" t="s">
        <v>1221</v>
      </c>
      <c r="L45" s="461" t="s">
        <v>1215</v>
      </c>
      <c r="M45" s="462" t="s">
        <v>1215</v>
      </c>
      <c r="N45" s="463"/>
      <c r="O45" s="461" t="s">
        <v>1218</v>
      </c>
      <c r="P45" s="462" t="s">
        <v>1300</v>
      </c>
      <c r="Q45" s="463"/>
      <c r="R45" s="465" t="s">
        <v>1221</v>
      </c>
      <c r="S45" s="479"/>
      <c r="T45" s="322"/>
      <c r="U45" s="322"/>
      <c r="V45" s="322"/>
    </row>
    <row r="46" spans="1:22" ht="43.75" x14ac:dyDescent="0.4">
      <c r="A46" s="324" t="s">
        <v>1402</v>
      </c>
      <c r="B46" s="169" t="s">
        <v>1403</v>
      </c>
      <c r="C46" s="322"/>
      <c r="D46" s="472"/>
      <c r="E46" s="461"/>
      <c r="F46" s="462"/>
      <c r="G46" s="463"/>
      <c r="H46" s="461"/>
      <c r="I46" s="462"/>
      <c r="J46" s="463"/>
      <c r="K46" s="465"/>
      <c r="L46" s="461"/>
      <c r="M46" s="462"/>
      <c r="N46" s="463"/>
      <c r="O46" s="461"/>
      <c r="P46" s="462"/>
      <c r="Q46" s="463"/>
      <c r="R46" s="465"/>
      <c r="S46" s="479"/>
      <c r="T46" s="322"/>
      <c r="U46" s="322"/>
      <c r="V46" s="322"/>
    </row>
    <row r="47" spans="1:22" ht="53.4" customHeight="1" thickBot="1" x14ac:dyDescent="0.45">
      <c r="A47" s="323" t="s">
        <v>1284</v>
      </c>
      <c r="B47" s="322" t="s">
        <v>1404</v>
      </c>
      <c r="C47" s="494" t="s">
        <v>1358</v>
      </c>
      <c r="D47" s="495" t="s">
        <v>1084</v>
      </c>
      <c r="E47" s="461" t="s">
        <v>1160</v>
      </c>
      <c r="F47" s="462" t="s">
        <v>1150</v>
      </c>
      <c r="G47" s="463" t="s">
        <v>1294</v>
      </c>
      <c r="H47" s="461" t="s">
        <v>1302</v>
      </c>
      <c r="I47" s="462" t="s">
        <v>1405</v>
      </c>
      <c r="J47" s="463" t="s">
        <v>1163</v>
      </c>
      <c r="K47" s="465" t="s">
        <v>1175</v>
      </c>
      <c r="L47" s="461" t="s">
        <v>1315</v>
      </c>
      <c r="M47" s="462" t="s">
        <v>1143</v>
      </c>
      <c r="N47" s="463" t="s">
        <v>1143</v>
      </c>
      <c r="O47" s="461" t="s">
        <v>1160</v>
      </c>
      <c r="P47" s="462" t="s">
        <v>1143</v>
      </c>
      <c r="Q47" s="463" t="s">
        <v>1406</v>
      </c>
      <c r="R47" s="465" t="s">
        <v>1175</v>
      </c>
      <c r="S47" s="479"/>
      <c r="T47" s="322" t="s">
        <v>1407</v>
      </c>
      <c r="U47" s="322"/>
      <c r="V47" s="322"/>
    </row>
    <row r="48" spans="1:22" ht="66" customHeight="1" thickBot="1" x14ac:dyDescent="0.45">
      <c r="A48" s="323" t="s">
        <v>1289</v>
      </c>
      <c r="B48" s="322" t="s">
        <v>1408</v>
      </c>
      <c r="C48" s="494" t="s">
        <v>1358</v>
      </c>
      <c r="D48" s="495" t="s">
        <v>1084</v>
      </c>
      <c r="E48" s="461" t="s">
        <v>1160</v>
      </c>
      <c r="F48" s="462" t="s">
        <v>1143</v>
      </c>
      <c r="G48" s="463" t="s">
        <v>1160</v>
      </c>
      <c r="H48" s="461" t="s">
        <v>1160</v>
      </c>
      <c r="I48" s="462" t="s">
        <v>1143</v>
      </c>
      <c r="J48" s="463" t="s">
        <v>1160</v>
      </c>
      <c r="K48" s="465" t="s">
        <v>1214</v>
      </c>
      <c r="L48" s="461" t="s">
        <v>1160</v>
      </c>
      <c r="M48" s="462" t="s">
        <v>1215</v>
      </c>
      <c r="N48" s="463" t="s">
        <v>1409</v>
      </c>
      <c r="O48" s="461" t="s">
        <v>1143</v>
      </c>
      <c r="P48" s="462" t="s">
        <v>1410</v>
      </c>
      <c r="Q48" s="463" t="s">
        <v>1158</v>
      </c>
      <c r="R48" s="465" t="s">
        <v>1214</v>
      </c>
      <c r="S48" s="479"/>
      <c r="T48" s="322" t="s">
        <v>1411</v>
      </c>
      <c r="U48" s="322"/>
      <c r="V48" s="322"/>
    </row>
    <row r="49" spans="1:22" ht="87.9" thickBot="1" x14ac:dyDescent="0.45">
      <c r="A49" s="323" t="s">
        <v>1298</v>
      </c>
      <c r="B49" s="322" t="s">
        <v>1412</v>
      </c>
      <c r="C49" s="494" t="s">
        <v>1358</v>
      </c>
      <c r="D49" s="495" t="s">
        <v>1084</v>
      </c>
      <c r="E49" s="461" t="s">
        <v>1215</v>
      </c>
      <c r="F49" s="462" t="s">
        <v>1413</v>
      </c>
      <c r="G49" s="463" t="s">
        <v>1414</v>
      </c>
      <c r="H49" s="461" t="s">
        <v>1215</v>
      </c>
      <c r="I49" s="462" t="s">
        <v>1150</v>
      </c>
      <c r="J49" s="463" t="s">
        <v>1415</v>
      </c>
      <c r="K49" s="465" t="s">
        <v>1301</v>
      </c>
      <c r="L49" s="461" t="s">
        <v>1143</v>
      </c>
      <c r="M49" s="462" t="s">
        <v>1215</v>
      </c>
      <c r="N49" s="463" t="s">
        <v>1218</v>
      </c>
      <c r="O49" s="461" t="s">
        <v>1143</v>
      </c>
      <c r="P49" s="462" t="s">
        <v>1369</v>
      </c>
      <c r="Q49" s="463" t="s">
        <v>1160</v>
      </c>
      <c r="R49" s="465" t="s">
        <v>1301</v>
      </c>
      <c r="S49" s="479"/>
      <c r="T49" s="322" t="s">
        <v>1411</v>
      </c>
      <c r="U49" s="322"/>
      <c r="V49" s="322"/>
    </row>
    <row r="50" spans="1:22" ht="29.25" customHeight="1" thickBot="1" x14ac:dyDescent="0.45">
      <c r="A50" s="323" t="s">
        <v>1303</v>
      </c>
      <c r="B50" s="322" t="s">
        <v>1416</v>
      </c>
      <c r="C50" s="494" t="s">
        <v>1358</v>
      </c>
      <c r="D50" s="495" t="s">
        <v>1084</v>
      </c>
      <c r="E50" s="461" t="s">
        <v>1417</v>
      </c>
      <c r="F50" s="462" t="s">
        <v>1203</v>
      </c>
      <c r="G50" s="463" t="s">
        <v>1414</v>
      </c>
      <c r="H50" s="461" t="s">
        <v>1418</v>
      </c>
      <c r="I50" s="462" t="s">
        <v>1203</v>
      </c>
      <c r="J50" s="463" t="s">
        <v>1203</v>
      </c>
      <c r="K50" s="465" t="s">
        <v>1214</v>
      </c>
      <c r="L50" s="461" t="s">
        <v>1419</v>
      </c>
      <c r="M50" s="462" t="s">
        <v>1203</v>
      </c>
      <c r="N50" s="463" t="s">
        <v>1203</v>
      </c>
      <c r="O50" s="461" t="s">
        <v>1203</v>
      </c>
      <c r="P50" s="462" t="s">
        <v>1203</v>
      </c>
      <c r="Q50" s="463" t="s">
        <v>1203</v>
      </c>
      <c r="R50" s="465" t="s">
        <v>1214</v>
      </c>
      <c r="S50" s="479"/>
      <c r="T50" s="322" t="s">
        <v>1420</v>
      </c>
      <c r="U50" s="322"/>
      <c r="V50" s="322"/>
    </row>
    <row r="51" spans="1:22" ht="36.75" customHeight="1" thickBot="1" x14ac:dyDescent="0.45">
      <c r="A51" s="323" t="s">
        <v>1305</v>
      </c>
      <c r="B51" s="322" t="s">
        <v>1421</v>
      </c>
      <c r="C51" s="494" t="s">
        <v>1358</v>
      </c>
      <c r="D51" s="495" t="s">
        <v>1084</v>
      </c>
      <c r="E51" s="461" t="s">
        <v>1422</v>
      </c>
      <c r="F51" s="462" t="s">
        <v>1160</v>
      </c>
      <c r="G51" s="463" t="s">
        <v>1414</v>
      </c>
      <c r="H51" s="461" t="s">
        <v>1333</v>
      </c>
      <c r="I51" s="462" t="s">
        <v>1211</v>
      </c>
      <c r="J51" s="463" t="s">
        <v>1143</v>
      </c>
      <c r="K51" s="465" t="s">
        <v>1221</v>
      </c>
      <c r="L51" s="461" t="s">
        <v>1215</v>
      </c>
      <c r="M51" s="462" t="s">
        <v>1302</v>
      </c>
      <c r="N51" s="463" t="s">
        <v>1143</v>
      </c>
      <c r="O51" s="461" t="s">
        <v>1160</v>
      </c>
      <c r="P51" s="462" t="s">
        <v>1143</v>
      </c>
      <c r="Q51" s="463" t="s">
        <v>1315</v>
      </c>
      <c r="R51" s="465" t="s">
        <v>1221</v>
      </c>
      <c r="S51" s="479"/>
      <c r="T51" s="322" t="s">
        <v>1423</v>
      </c>
      <c r="U51" s="322"/>
      <c r="V51" s="322"/>
    </row>
    <row r="52" spans="1:22" ht="40.5" customHeight="1" thickBot="1" x14ac:dyDescent="0.45">
      <c r="A52" s="323" t="s">
        <v>1311</v>
      </c>
      <c r="B52" s="322" t="s">
        <v>1424</v>
      </c>
      <c r="C52" s="494" t="s">
        <v>1358</v>
      </c>
      <c r="D52" s="495" t="s">
        <v>1084</v>
      </c>
      <c r="E52" s="461"/>
      <c r="F52" s="462" t="s">
        <v>1374</v>
      </c>
      <c r="G52" s="463" t="s">
        <v>1143</v>
      </c>
      <c r="H52" s="461" t="s">
        <v>1425</v>
      </c>
      <c r="I52" s="462" t="s">
        <v>1148</v>
      </c>
      <c r="J52" s="463" t="s">
        <v>1143</v>
      </c>
      <c r="K52" s="465" t="s">
        <v>1189</v>
      </c>
      <c r="L52" s="461" t="s">
        <v>1425</v>
      </c>
      <c r="M52" s="462" t="s">
        <v>1218</v>
      </c>
      <c r="N52" s="463" t="s">
        <v>1218</v>
      </c>
      <c r="O52" s="461" t="s">
        <v>1218</v>
      </c>
      <c r="P52" s="462" t="s">
        <v>1172</v>
      </c>
      <c r="Q52" s="463" t="s">
        <v>1160</v>
      </c>
      <c r="R52" s="465" t="s">
        <v>1189</v>
      </c>
      <c r="S52" s="479"/>
      <c r="T52" s="322" t="s">
        <v>1426</v>
      </c>
      <c r="U52" s="322"/>
      <c r="V52" s="322"/>
    </row>
    <row r="53" spans="1:22" ht="73.400000000000006" customHeight="1" x14ac:dyDescent="0.4">
      <c r="A53" s="323" t="s">
        <v>1317</v>
      </c>
      <c r="B53" s="322" t="s">
        <v>1427</v>
      </c>
      <c r="C53" s="238" t="s">
        <v>1428</v>
      </c>
      <c r="D53" s="495" t="s">
        <v>1084</v>
      </c>
      <c r="E53" s="461" t="s">
        <v>1429</v>
      </c>
      <c r="F53" s="462" t="s">
        <v>1203</v>
      </c>
      <c r="G53" s="463" t="s">
        <v>1203</v>
      </c>
      <c r="H53" s="466" t="s">
        <v>1430</v>
      </c>
      <c r="I53" s="462" t="s">
        <v>1203</v>
      </c>
      <c r="J53" s="463"/>
      <c r="K53" s="465" t="s">
        <v>1431</v>
      </c>
      <c r="L53" s="461" t="s">
        <v>1432</v>
      </c>
      <c r="M53" s="462" t="s">
        <v>1203</v>
      </c>
      <c r="N53" s="463" t="s">
        <v>1203</v>
      </c>
      <c r="O53" s="461" t="s">
        <v>1433</v>
      </c>
      <c r="P53" s="462" t="s">
        <v>1203</v>
      </c>
      <c r="Q53" s="463" t="s">
        <v>1203</v>
      </c>
      <c r="R53" s="465" t="s">
        <v>1431</v>
      </c>
      <c r="S53" s="484" t="s">
        <v>1434</v>
      </c>
      <c r="T53" s="322" t="s">
        <v>1435</v>
      </c>
      <c r="U53" s="322" t="s">
        <v>1436</v>
      </c>
      <c r="V53" s="322"/>
    </row>
    <row r="54" spans="1:22" x14ac:dyDescent="0.4">
      <c r="A54" s="324" t="s">
        <v>78</v>
      </c>
      <c r="B54" s="169" t="s">
        <v>1437</v>
      </c>
      <c r="C54" s="322"/>
      <c r="D54" s="460"/>
      <c r="E54" s="461"/>
      <c r="F54" s="462"/>
      <c r="G54" s="463"/>
      <c r="H54" s="461"/>
      <c r="I54" s="462"/>
      <c r="J54" s="463"/>
      <c r="K54" s="465"/>
      <c r="L54" s="461"/>
      <c r="M54" s="462"/>
      <c r="N54" s="463"/>
      <c r="O54" s="461"/>
      <c r="P54" s="462"/>
      <c r="Q54" s="463"/>
      <c r="R54" s="465"/>
      <c r="S54" s="479"/>
      <c r="T54" s="322"/>
      <c r="U54" s="322"/>
      <c r="V54" s="322"/>
    </row>
    <row r="55" spans="1:22" x14ac:dyDescent="0.4">
      <c r="A55" s="323" t="s">
        <v>1284</v>
      </c>
      <c r="B55" s="322" t="s">
        <v>1438</v>
      </c>
      <c r="C55" s="322"/>
      <c r="D55" s="460"/>
      <c r="E55" s="461"/>
      <c r="F55" s="462"/>
      <c r="G55" s="463"/>
      <c r="H55" s="461"/>
      <c r="I55" s="462"/>
      <c r="J55" s="463"/>
      <c r="K55" s="465"/>
      <c r="L55" s="461"/>
      <c r="M55" s="462"/>
      <c r="N55" s="463"/>
      <c r="O55" s="461"/>
      <c r="P55" s="462"/>
      <c r="Q55" s="463"/>
      <c r="R55" s="465"/>
      <c r="S55" s="479"/>
      <c r="T55" s="322"/>
      <c r="U55" s="322"/>
      <c r="V55" s="322"/>
    </row>
    <row r="56" spans="1:22" s="485" customFormat="1" ht="66" customHeight="1" thickBot="1" x14ac:dyDescent="0.45">
      <c r="B56" s="486" t="s">
        <v>1439</v>
      </c>
      <c r="C56" s="497" t="s">
        <v>1358</v>
      </c>
      <c r="D56" s="488" t="s">
        <v>1084</v>
      </c>
      <c r="E56" s="489" t="s">
        <v>1216</v>
      </c>
      <c r="F56" s="490" t="s">
        <v>1215</v>
      </c>
      <c r="G56" s="491" t="s">
        <v>1216</v>
      </c>
      <c r="H56" s="489" t="s">
        <v>1172</v>
      </c>
      <c r="I56" s="476"/>
      <c r="J56" s="491" t="s">
        <v>1440</v>
      </c>
      <c r="K56" s="492" t="s">
        <v>1389</v>
      </c>
      <c r="L56" s="489" t="s">
        <v>1176</v>
      </c>
      <c r="M56" s="490" t="s">
        <v>1441</v>
      </c>
      <c r="N56" s="491" t="s">
        <v>1218</v>
      </c>
      <c r="O56" s="489" t="s">
        <v>1172</v>
      </c>
      <c r="P56" s="490" t="s">
        <v>1442</v>
      </c>
      <c r="Q56" s="476" t="s">
        <v>1390</v>
      </c>
      <c r="R56" s="492" t="s">
        <v>1196</v>
      </c>
      <c r="S56" s="493"/>
      <c r="T56" s="486" t="s">
        <v>1443</v>
      </c>
      <c r="U56" s="486"/>
      <c r="V56" s="486"/>
    </row>
    <row r="57" spans="1:22" ht="30.75" customHeight="1" thickBot="1" x14ac:dyDescent="0.45">
      <c r="B57" s="322" t="s">
        <v>1444</v>
      </c>
      <c r="C57" s="494" t="s">
        <v>1358</v>
      </c>
      <c r="D57" s="495" t="s">
        <v>1084</v>
      </c>
      <c r="E57" s="461" t="s">
        <v>1315</v>
      </c>
      <c r="F57" s="462" t="s">
        <v>1320</v>
      </c>
      <c r="G57" s="463" t="s">
        <v>1323</v>
      </c>
      <c r="H57" s="461" t="s">
        <v>1302</v>
      </c>
      <c r="I57" s="462"/>
      <c r="J57" s="463" t="s">
        <v>1160</v>
      </c>
      <c r="K57" s="465" t="s">
        <v>1214</v>
      </c>
      <c r="L57" s="461" t="s">
        <v>1333</v>
      </c>
      <c r="M57" s="462" t="s">
        <v>1320</v>
      </c>
      <c r="N57" s="463" t="s">
        <v>1333</v>
      </c>
      <c r="O57" s="461" t="s">
        <v>1160</v>
      </c>
      <c r="P57" s="462" t="s">
        <v>1163</v>
      </c>
      <c r="Q57" s="463" t="s">
        <v>1315</v>
      </c>
      <c r="R57" s="465" t="s">
        <v>1214</v>
      </c>
      <c r="S57" s="479"/>
      <c r="T57" s="322"/>
      <c r="U57" s="322"/>
      <c r="V57" s="322"/>
    </row>
    <row r="58" spans="1:22" ht="87.9" thickBot="1" x14ac:dyDescent="0.45">
      <c r="A58" s="323" t="s">
        <v>1289</v>
      </c>
      <c r="B58" s="322" t="s">
        <v>1445</v>
      </c>
      <c r="C58" s="494" t="s">
        <v>1358</v>
      </c>
      <c r="D58" s="495" t="s">
        <v>1084</v>
      </c>
      <c r="E58" s="461" t="s">
        <v>1216</v>
      </c>
      <c r="F58" s="462"/>
      <c r="G58" s="463"/>
      <c r="H58" s="461" t="s">
        <v>1172</v>
      </c>
      <c r="I58" s="462" t="s">
        <v>1216</v>
      </c>
      <c r="J58" s="463"/>
      <c r="K58" s="465" t="s">
        <v>1205</v>
      </c>
      <c r="L58" s="461" t="s">
        <v>1176</v>
      </c>
      <c r="M58" s="462" t="s">
        <v>1176</v>
      </c>
      <c r="N58" s="463"/>
      <c r="O58" s="461" t="s">
        <v>1390</v>
      </c>
      <c r="P58" s="462" t="s">
        <v>1446</v>
      </c>
      <c r="Q58" s="463" t="s">
        <v>1203</v>
      </c>
      <c r="R58" s="465" t="s">
        <v>1447</v>
      </c>
      <c r="S58" s="479"/>
      <c r="T58" s="322" t="s">
        <v>1448</v>
      </c>
      <c r="U58" s="322"/>
      <c r="V58" s="322"/>
    </row>
    <row r="59" spans="1:22" ht="45.75" customHeight="1" x14ac:dyDescent="0.4">
      <c r="A59" s="323" t="s">
        <v>1298</v>
      </c>
      <c r="B59" s="322" t="s">
        <v>1449</v>
      </c>
      <c r="C59" s="238" t="s">
        <v>1450</v>
      </c>
      <c r="D59" s="495" t="s">
        <v>1084</v>
      </c>
      <c r="E59" s="461" t="s">
        <v>1451</v>
      </c>
      <c r="F59" s="462" t="s">
        <v>1452</v>
      </c>
      <c r="G59" s="463" t="s">
        <v>1453</v>
      </c>
      <c r="H59" s="461" t="s">
        <v>1454</v>
      </c>
      <c r="I59" s="466" t="s">
        <v>1455</v>
      </c>
      <c r="J59" s="466" t="s">
        <v>1456</v>
      </c>
      <c r="K59" s="465" t="s">
        <v>1457</v>
      </c>
      <c r="L59" s="461" t="s">
        <v>1458</v>
      </c>
      <c r="M59" s="462" t="s">
        <v>1459</v>
      </c>
      <c r="N59" s="466" t="s">
        <v>1460</v>
      </c>
      <c r="O59" s="461" t="s">
        <v>1461</v>
      </c>
      <c r="P59" s="466" t="s">
        <v>1462</v>
      </c>
      <c r="Q59" s="466" t="s">
        <v>1345</v>
      </c>
      <c r="R59" s="465" t="s">
        <v>1457</v>
      </c>
      <c r="S59" s="479"/>
      <c r="T59" s="322" t="s">
        <v>1463</v>
      </c>
      <c r="U59" s="322"/>
      <c r="V59" s="322"/>
    </row>
    <row r="60" spans="1:22" ht="29.15" x14ac:dyDescent="0.4">
      <c r="A60" s="324" t="s">
        <v>79</v>
      </c>
      <c r="B60" s="169" t="s">
        <v>1464</v>
      </c>
      <c r="C60" s="322"/>
      <c r="D60" s="472"/>
      <c r="E60" s="461"/>
      <c r="F60" s="462"/>
      <c r="G60" s="463"/>
      <c r="H60" s="461"/>
      <c r="I60" s="462"/>
      <c r="J60" s="463"/>
      <c r="K60" s="465"/>
      <c r="L60" s="461"/>
      <c r="M60" s="462"/>
      <c r="N60" s="463"/>
      <c r="O60" s="461"/>
      <c r="P60" s="462"/>
      <c r="Q60" s="463"/>
      <c r="R60" s="465"/>
      <c r="S60" s="479"/>
      <c r="T60" s="322"/>
      <c r="U60" s="322"/>
      <c r="V60" s="322"/>
    </row>
    <row r="61" spans="1:22" ht="45" customHeight="1" x14ac:dyDescent="0.4">
      <c r="A61" s="323" t="s">
        <v>1284</v>
      </c>
      <c r="B61" s="322" t="s">
        <v>1465</v>
      </c>
      <c r="C61" s="498" t="s">
        <v>1466</v>
      </c>
      <c r="D61" s="499" t="s">
        <v>1084</v>
      </c>
      <c r="E61" s="461" t="s">
        <v>1467</v>
      </c>
      <c r="F61" s="462"/>
      <c r="G61" s="463" t="s">
        <v>1333</v>
      </c>
      <c r="H61" s="461" t="s">
        <v>1468</v>
      </c>
      <c r="I61" s="462"/>
      <c r="J61" s="463" t="s">
        <v>1469</v>
      </c>
      <c r="K61" s="465" t="s">
        <v>1470</v>
      </c>
      <c r="L61" s="461" t="s">
        <v>1471</v>
      </c>
      <c r="M61" s="462"/>
      <c r="N61" s="463" t="s">
        <v>1158</v>
      </c>
      <c r="O61" s="461" t="s">
        <v>1320</v>
      </c>
      <c r="P61" s="462"/>
      <c r="Q61" s="463" t="s">
        <v>1472</v>
      </c>
      <c r="R61" s="465" t="s">
        <v>1473</v>
      </c>
      <c r="S61" s="479"/>
      <c r="T61" s="322"/>
      <c r="U61" s="322"/>
      <c r="V61" s="322"/>
    </row>
    <row r="62" spans="1:22" ht="51.75" customHeight="1" x14ac:dyDescent="0.4">
      <c r="A62" s="323" t="s">
        <v>1289</v>
      </c>
      <c r="B62" s="322" t="s">
        <v>1474</v>
      </c>
      <c r="C62" s="498" t="s">
        <v>1475</v>
      </c>
      <c r="D62" s="499" t="s">
        <v>1084</v>
      </c>
      <c r="E62" s="461" t="s">
        <v>1143</v>
      </c>
      <c r="F62" s="462"/>
      <c r="G62" s="463" t="s">
        <v>1414</v>
      </c>
      <c r="H62" s="461" t="s">
        <v>1369</v>
      </c>
      <c r="I62" s="462"/>
      <c r="J62" s="463" t="s">
        <v>1143</v>
      </c>
      <c r="K62" s="465" t="s">
        <v>1476</v>
      </c>
      <c r="L62" s="461" t="s">
        <v>1477</v>
      </c>
      <c r="M62" s="462"/>
      <c r="N62" s="463" t="s">
        <v>1143</v>
      </c>
      <c r="O62" s="461" t="s">
        <v>1218</v>
      </c>
      <c r="P62" s="462"/>
      <c r="Q62" s="463" t="s">
        <v>1478</v>
      </c>
      <c r="R62" s="465" t="s">
        <v>1479</v>
      </c>
      <c r="S62" s="479"/>
      <c r="T62" s="322" t="s">
        <v>1480</v>
      </c>
      <c r="U62" s="322"/>
      <c r="V62" s="322"/>
    </row>
    <row r="63" spans="1:22" ht="48.75" customHeight="1" x14ac:dyDescent="0.4">
      <c r="A63" s="323" t="s">
        <v>1298</v>
      </c>
      <c r="B63" s="322" t="s">
        <v>1481</v>
      </c>
      <c r="C63" s="498" t="s">
        <v>1475</v>
      </c>
      <c r="D63" s="499" t="s">
        <v>1084</v>
      </c>
      <c r="E63" s="461" t="s">
        <v>1482</v>
      </c>
      <c r="F63" s="462"/>
      <c r="G63" s="463" t="s">
        <v>1483</v>
      </c>
      <c r="H63" s="461" t="s">
        <v>1484</v>
      </c>
      <c r="I63" s="462"/>
      <c r="J63" s="463" t="s">
        <v>1369</v>
      </c>
      <c r="K63" s="465" t="s">
        <v>1485</v>
      </c>
      <c r="L63" s="461" t="s">
        <v>1369</v>
      </c>
      <c r="M63" s="462"/>
      <c r="N63" s="463" t="s">
        <v>1486</v>
      </c>
      <c r="O63" s="461" t="s">
        <v>1487</v>
      </c>
      <c r="P63" s="462"/>
      <c r="Q63" s="463" t="s">
        <v>1369</v>
      </c>
      <c r="R63" s="465" t="s">
        <v>1485</v>
      </c>
      <c r="S63" s="479"/>
      <c r="T63" s="322" t="s">
        <v>1488</v>
      </c>
      <c r="U63" s="322"/>
      <c r="V63" s="322"/>
    </row>
    <row r="64" spans="1:22" ht="42.75" customHeight="1" x14ac:dyDescent="0.4">
      <c r="A64" s="323" t="s">
        <v>1303</v>
      </c>
      <c r="B64" s="322" t="s">
        <v>1489</v>
      </c>
      <c r="C64" s="498" t="s">
        <v>1475</v>
      </c>
      <c r="D64" s="499" t="s">
        <v>1084</v>
      </c>
      <c r="E64" s="461" t="s">
        <v>1490</v>
      </c>
      <c r="F64" s="462"/>
      <c r="G64" s="466" t="s">
        <v>1194</v>
      </c>
      <c r="H64" s="461" t="s">
        <v>1163</v>
      </c>
      <c r="I64" s="462"/>
      <c r="J64" s="463" t="s">
        <v>1369</v>
      </c>
      <c r="K64" s="465" t="s">
        <v>1491</v>
      </c>
      <c r="L64" s="461" t="s">
        <v>1218</v>
      </c>
      <c r="M64" s="462"/>
      <c r="N64" s="463" t="s">
        <v>1492</v>
      </c>
      <c r="O64" s="461" t="s">
        <v>1143</v>
      </c>
      <c r="P64" s="462"/>
      <c r="Q64" s="463" t="s">
        <v>1302</v>
      </c>
      <c r="R64" s="465" t="s">
        <v>1493</v>
      </c>
      <c r="S64" s="479"/>
      <c r="T64" s="322" t="s">
        <v>1494</v>
      </c>
      <c r="U64" s="322"/>
      <c r="V64" s="322"/>
    </row>
    <row r="65" spans="1:22" ht="213.75" customHeight="1" x14ac:dyDescent="0.4">
      <c r="A65" s="323" t="s">
        <v>1305</v>
      </c>
      <c r="B65" s="322" t="s">
        <v>1495</v>
      </c>
      <c r="C65" s="498" t="s">
        <v>1475</v>
      </c>
      <c r="D65" s="499" t="s">
        <v>1084</v>
      </c>
      <c r="E65" s="461" t="s">
        <v>1143</v>
      </c>
      <c r="F65" s="462"/>
      <c r="G65" s="463" t="s">
        <v>1287</v>
      </c>
      <c r="H65" s="461" t="s">
        <v>1216</v>
      </c>
      <c r="I65" s="462"/>
      <c r="J65" s="463" t="s">
        <v>1496</v>
      </c>
      <c r="K65" s="496" t="s">
        <v>1497</v>
      </c>
      <c r="L65" s="461" t="s">
        <v>1172</v>
      </c>
      <c r="M65" s="462"/>
      <c r="N65" s="466" t="s">
        <v>1498</v>
      </c>
      <c r="O65" s="461" t="s">
        <v>1143</v>
      </c>
      <c r="P65" s="462"/>
      <c r="Q65" s="463" t="s">
        <v>1160</v>
      </c>
      <c r="R65" s="465" t="s">
        <v>1499</v>
      </c>
      <c r="S65" s="479"/>
      <c r="T65" s="322" t="s">
        <v>1500</v>
      </c>
      <c r="U65" s="322"/>
      <c r="V65" s="322"/>
    </row>
    <row r="66" spans="1:22" ht="131.15" x14ac:dyDescent="0.4">
      <c r="A66" s="324" t="s">
        <v>80</v>
      </c>
      <c r="B66" s="500" t="s">
        <v>1501</v>
      </c>
      <c r="C66" s="322"/>
      <c r="D66" s="472"/>
      <c r="E66" s="461"/>
      <c r="F66" s="462"/>
      <c r="G66" s="463"/>
      <c r="H66" s="461"/>
      <c r="I66" s="462"/>
      <c r="J66" s="463"/>
      <c r="K66" s="465"/>
      <c r="L66" s="461"/>
      <c r="M66" s="462"/>
      <c r="N66" s="463"/>
      <c r="O66" s="461"/>
      <c r="P66" s="462"/>
      <c r="Q66" s="463"/>
      <c r="R66" s="465"/>
      <c r="S66" s="479"/>
      <c r="T66" s="466" t="s">
        <v>1502</v>
      </c>
      <c r="U66" s="322"/>
      <c r="V66" s="322"/>
    </row>
    <row r="67" spans="1:22" ht="60.65" customHeight="1" x14ac:dyDescent="0.4">
      <c r="A67" s="323" t="s">
        <v>1284</v>
      </c>
      <c r="B67" s="322" t="s">
        <v>1503</v>
      </c>
      <c r="C67" s="498" t="s">
        <v>46</v>
      </c>
      <c r="D67" s="499" t="s">
        <v>1084</v>
      </c>
      <c r="E67" s="461"/>
      <c r="F67" s="462"/>
      <c r="G67" s="463" t="s">
        <v>1287</v>
      </c>
      <c r="H67" s="461" t="s">
        <v>1217</v>
      </c>
      <c r="I67" s="462"/>
      <c r="J67" s="463" t="s">
        <v>1504</v>
      </c>
      <c r="K67" s="465" t="s">
        <v>1203</v>
      </c>
      <c r="L67" s="461" t="s">
        <v>1215</v>
      </c>
      <c r="M67" s="462"/>
      <c r="N67" s="463" t="s">
        <v>1203</v>
      </c>
      <c r="O67" s="461" t="s">
        <v>1203</v>
      </c>
      <c r="P67" s="462"/>
      <c r="Q67" s="463" t="s">
        <v>1505</v>
      </c>
      <c r="R67" s="465" t="s">
        <v>1203</v>
      </c>
      <c r="S67" s="479"/>
      <c r="T67" s="322"/>
      <c r="U67" s="322"/>
      <c r="V67" s="322"/>
    </row>
    <row r="68" spans="1:22" ht="63" customHeight="1" x14ac:dyDescent="0.4">
      <c r="A68" s="323" t="s">
        <v>1289</v>
      </c>
      <c r="B68" s="322" t="s">
        <v>1506</v>
      </c>
      <c r="C68" s="498" t="s">
        <v>46</v>
      </c>
      <c r="D68" s="499" t="s">
        <v>1084</v>
      </c>
      <c r="E68" s="461" t="s">
        <v>1163</v>
      </c>
      <c r="F68" s="462" t="s">
        <v>1507</v>
      </c>
      <c r="G68" s="463" t="s">
        <v>1160</v>
      </c>
      <c r="H68" s="461" t="s">
        <v>1143</v>
      </c>
      <c r="I68" s="462" t="s">
        <v>1374</v>
      </c>
      <c r="J68" s="463" t="s">
        <v>1163</v>
      </c>
      <c r="K68" s="465" t="s">
        <v>1214</v>
      </c>
      <c r="L68" s="461" t="s">
        <v>1508</v>
      </c>
      <c r="M68" s="462" t="s">
        <v>1331</v>
      </c>
      <c r="N68" s="463" t="s">
        <v>1509</v>
      </c>
      <c r="O68" s="461" t="s">
        <v>1510</v>
      </c>
      <c r="P68" s="462" t="s">
        <v>1511</v>
      </c>
      <c r="Q68" s="463" t="s">
        <v>1512</v>
      </c>
      <c r="R68" s="465" t="s">
        <v>1214</v>
      </c>
      <c r="S68" s="479"/>
      <c r="T68" s="322" t="s">
        <v>1513</v>
      </c>
      <c r="U68" s="322"/>
      <c r="V68" s="322"/>
    </row>
    <row r="69" spans="1:22" ht="29.15" x14ac:dyDescent="0.4">
      <c r="A69" s="324" t="s">
        <v>81</v>
      </c>
      <c r="B69" s="169" t="s">
        <v>1514</v>
      </c>
      <c r="C69" s="498"/>
      <c r="D69" s="473"/>
      <c r="E69" s="461"/>
      <c r="F69" s="462"/>
      <c r="G69" s="463"/>
      <c r="H69" s="461"/>
      <c r="I69" s="462"/>
      <c r="J69" s="463"/>
      <c r="K69" s="465"/>
      <c r="L69" s="461"/>
      <c r="M69" s="462"/>
      <c r="N69" s="463"/>
      <c r="O69" s="461"/>
      <c r="P69" s="462"/>
      <c r="Q69" s="463"/>
      <c r="R69" s="465"/>
      <c r="S69" s="479"/>
      <c r="T69" s="322"/>
      <c r="U69" s="322"/>
      <c r="V69" s="322"/>
    </row>
    <row r="70" spans="1:22" ht="51" customHeight="1" x14ac:dyDescent="0.4">
      <c r="A70" s="323" t="s">
        <v>1284</v>
      </c>
      <c r="B70" s="322" t="s">
        <v>1515</v>
      </c>
      <c r="C70" s="322"/>
      <c r="D70" s="499" t="s">
        <v>1084</v>
      </c>
      <c r="E70" s="461" t="s">
        <v>1516</v>
      </c>
      <c r="F70" s="462" t="s">
        <v>1203</v>
      </c>
      <c r="G70" s="463" t="s">
        <v>1320</v>
      </c>
      <c r="H70" s="461" t="s">
        <v>1218</v>
      </c>
      <c r="I70" s="462" t="s">
        <v>1216</v>
      </c>
      <c r="J70" s="463" t="s">
        <v>1517</v>
      </c>
      <c r="K70" s="465" t="s">
        <v>1518</v>
      </c>
      <c r="L70" s="461" t="s">
        <v>1519</v>
      </c>
      <c r="M70" s="462" t="s">
        <v>1163</v>
      </c>
      <c r="N70" s="463" t="s">
        <v>1160</v>
      </c>
      <c r="O70" s="461" t="s">
        <v>1315</v>
      </c>
      <c r="P70" s="466" t="s">
        <v>1520</v>
      </c>
      <c r="Q70" s="463" t="s">
        <v>1160</v>
      </c>
      <c r="R70" s="465" t="s">
        <v>1521</v>
      </c>
      <c r="S70" s="479"/>
      <c r="T70" s="322" t="s">
        <v>1522</v>
      </c>
      <c r="U70" s="322"/>
      <c r="V70" s="322"/>
    </row>
    <row r="71" spans="1:22" ht="29.15" x14ac:dyDescent="0.4">
      <c r="A71" s="324" t="s">
        <v>82</v>
      </c>
      <c r="B71" s="169" t="s">
        <v>1523</v>
      </c>
      <c r="C71" s="322"/>
      <c r="D71" s="472"/>
      <c r="E71" s="461"/>
      <c r="F71" s="462"/>
      <c r="G71" s="463"/>
      <c r="H71" s="461"/>
      <c r="I71" s="462"/>
      <c r="J71" s="463"/>
      <c r="K71" s="465"/>
      <c r="L71" s="461"/>
      <c r="M71" s="462"/>
      <c r="N71" s="463"/>
      <c r="O71" s="461"/>
      <c r="P71" s="462"/>
      <c r="Q71" s="463"/>
      <c r="R71" s="465"/>
      <c r="S71" s="479"/>
      <c r="T71" s="322"/>
      <c r="U71" s="322"/>
      <c r="V71" s="322"/>
    </row>
    <row r="72" spans="1:22" s="485" customFormat="1" ht="29.15" x14ac:dyDescent="0.4">
      <c r="A72" s="485" t="s">
        <v>1284</v>
      </c>
      <c r="B72" s="486" t="s">
        <v>1524</v>
      </c>
      <c r="C72" s="486"/>
      <c r="D72" s="501"/>
      <c r="E72" s="489"/>
      <c r="F72" s="490"/>
      <c r="G72" s="491"/>
      <c r="H72" s="502"/>
      <c r="I72" s="503"/>
      <c r="J72" s="504"/>
      <c r="K72" s="492"/>
      <c r="L72" s="489"/>
      <c r="M72" s="490" t="s">
        <v>1525</v>
      </c>
      <c r="N72" s="491"/>
      <c r="O72" s="489"/>
      <c r="P72" s="490" t="s">
        <v>1526</v>
      </c>
      <c r="Q72" s="491"/>
      <c r="R72" s="492"/>
      <c r="S72" s="493"/>
      <c r="T72" s="486"/>
      <c r="U72" s="486"/>
      <c r="V72" s="486"/>
    </row>
    <row r="73" spans="1:22" s="485" customFormat="1" ht="102" x14ac:dyDescent="0.4">
      <c r="B73" s="486" t="s">
        <v>1527</v>
      </c>
      <c r="C73" s="505" t="s">
        <v>1528</v>
      </c>
      <c r="D73" s="506" t="s">
        <v>1084</v>
      </c>
      <c r="E73" s="489" t="s">
        <v>1172</v>
      </c>
      <c r="F73" s="507" t="s">
        <v>1529</v>
      </c>
      <c r="G73" s="491"/>
      <c r="H73" s="508" t="s">
        <v>1216</v>
      </c>
      <c r="I73" s="507" t="s">
        <v>1529</v>
      </c>
      <c r="J73" s="491"/>
      <c r="K73" s="496" t="s">
        <v>1530</v>
      </c>
      <c r="L73" s="489" t="s">
        <v>1143</v>
      </c>
      <c r="M73" s="490"/>
      <c r="N73" s="491"/>
      <c r="O73" s="489" t="s">
        <v>1160</v>
      </c>
      <c r="P73" s="490" t="s">
        <v>1526</v>
      </c>
      <c r="Q73" s="491"/>
      <c r="R73" s="496" t="s">
        <v>1530</v>
      </c>
      <c r="S73" s="493"/>
      <c r="T73" s="486" t="s">
        <v>1531</v>
      </c>
      <c r="U73" s="486"/>
      <c r="V73" s="486"/>
    </row>
    <row r="74" spans="1:22" s="485" customFormat="1" ht="102" x14ac:dyDescent="0.4">
      <c r="B74" s="486" t="s">
        <v>1532</v>
      </c>
      <c r="C74" s="505" t="s">
        <v>1528</v>
      </c>
      <c r="D74" s="506" t="s">
        <v>1084</v>
      </c>
      <c r="E74" s="489" t="s">
        <v>1390</v>
      </c>
      <c r="F74" s="490"/>
      <c r="G74" s="491"/>
      <c r="H74" s="509" t="s">
        <v>1172</v>
      </c>
      <c r="I74" s="510"/>
      <c r="J74" s="511"/>
      <c r="K74" s="492" t="s">
        <v>1533</v>
      </c>
      <c r="L74" s="489" t="s">
        <v>1172</v>
      </c>
      <c r="M74" s="490"/>
      <c r="N74" s="491"/>
      <c r="O74" s="489" t="s">
        <v>1143</v>
      </c>
      <c r="P74" s="490" t="s">
        <v>1526</v>
      </c>
      <c r="Q74" s="491"/>
      <c r="R74" s="492" t="s">
        <v>1533</v>
      </c>
      <c r="S74" s="493"/>
      <c r="T74" s="486"/>
      <c r="U74" s="486"/>
      <c r="V74" s="486"/>
    </row>
    <row r="75" spans="1:22" s="485" customFormat="1" ht="29.15" x14ac:dyDescent="0.4">
      <c r="A75" s="485" t="s">
        <v>1289</v>
      </c>
      <c r="B75" s="486" t="s">
        <v>1534</v>
      </c>
      <c r="C75" s="486"/>
      <c r="D75" s="512"/>
      <c r="E75" s="489"/>
      <c r="F75" s="490"/>
      <c r="G75" s="491"/>
      <c r="H75" s="509"/>
      <c r="I75" s="513"/>
      <c r="J75" s="491"/>
      <c r="K75" s="492"/>
      <c r="L75" s="489"/>
      <c r="M75" s="490" t="s">
        <v>1203</v>
      </c>
      <c r="N75" s="491"/>
      <c r="O75" s="489"/>
      <c r="P75" s="490" t="s">
        <v>1203</v>
      </c>
      <c r="Q75" s="491"/>
      <c r="R75" s="492"/>
      <c r="S75" s="493"/>
      <c r="T75" s="486"/>
      <c r="U75" s="486"/>
      <c r="V75" s="486"/>
    </row>
    <row r="76" spans="1:22" s="485" customFormat="1" ht="30" customHeight="1" x14ac:dyDescent="0.4">
      <c r="B76" s="486" t="s">
        <v>1527</v>
      </c>
      <c r="C76" s="505" t="s">
        <v>1528</v>
      </c>
      <c r="D76" s="506" t="s">
        <v>1084</v>
      </c>
      <c r="E76" s="489" t="s">
        <v>1172</v>
      </c>
      <c r="F76" s="490"/>
      <c r="G76" s="491" t="s">
        <v>1160</v>
      </c>
      <c r="H76" s="489" t="s">
        <v>1216</v>
      </c>
      <c r="I76" s="490"/>
      <c r="J76" s="491" t="s">
        <v>1143</v>
      </c>
      <c r="K76" s="492" t="s">
        <v>1205</v>
      </c>
      <c r="L76" s="489" t="s">
        <v>1143</v>
      </c>
      <c r="M76" s="490"/>
      <c r="N76" s="491" t="s">
        <v>1172</v>
      </c>
      <c r="O76" s="489" t="s">
        <v>1160</v>
      </c>
      <c r="P76" s="490"/>
      <c r="Q76" s="491" t="s">
        <v>1333</v>
      </c>
      <c r="R76" s="492" t="s">
        <v>1205</v>
      </c>
      <c r="S76" s="493"/>
      <c r="T76" s="486"/>
      <c r="U76" s="486"/>
      <c r="V76" s="486"/>
    </row>
    <row r="77" spans="1:22" s="485" customFormat="1" ht="27.75" customHeight="1" x14ac:dyDescent="0.4">
      <c r="B77" s="486" t="s">
        <v>1532</v>
      </c>
      <c r="C77" s="505" t="s">
        <v>1528</v>
      </c>
      <c r="D77" s="506" t="s">
        <v>1084</v>
      </c>
      <c r="E77" s="489" t="s">
        <v>1390</v>
      </c>
      <c r="F77" s="490"/>
      <c r="G77" s="491" t="s">
        <v>1160</v>
      </c>
      <c r="H77" s="489" t="s">
        <v>1172</v>
      </c>
      <c r="I77" s="490"/>
      <c r="J77" s="491" t="s">
        <v>1148</v>
      </c>
      <c r="K77" s="492"/>
      <c r="L77" s="489" t="s">
        <v>1172</v>
      </c>
      <c r="M77" s="490"/>
      <c r="N77" s="491" t="s">
        <v>1172</v>
      </c>
      <c r="O77" s="489" t="s">
        <v>1143</v>
      </c>
      <c r="P77" s="490"/>
      <c r="Q77" s="491" t="s">
        <v>1160</v>
      </c>
      <c r="R77" s="492"/>
      <c r="S77" s="493"/>
      <c r="T77" s="486"/>
      <c r="U77" s="486"/>
      <c r="V77" s="486"/>
    </row>
    <row r="78" spans="1:22" s="485" customFormat="1" ht="29.15" x14ac:dyDescent="0.4">
      <c r="A78" s="485" t="s">
        <v>1298</v>
      </c>
      <c r="B78" s="486" t="s">
        <v>1535</v>
      </c>
      <c r="C78" s="486"/>
      <c r="D78" s="506" t="s">
        <v>1084</v>
      </c>
      <c r="E78" s="489"/>
      <c r="F78" s="490" t="s">
        <v>1160</v>
      </c>
      <c r="G78" s="491"/>
      <c r="H78" s="514" t="s">
        <v>1536</v>
      </c>
      <c r="I78" s="490" t="s">
        <v>1537</v>
      </c>
      <c r="J78" s="491"/>
      <c r="K78" s="492" t="s">
        <v>1538</v>
      </c>
      <c r="L78" s="489" t="s">
        <v>1425</v>
      </c>
      <c r="M78" s="490" t="s">
        <v>1302</v>
      </c>
      <c r="N78" s="491"/>
      <c r="O78" s="489"/>
      <c r="P78" s="490" t="s">
        <v>1160</v>
      </c>
      <c r="Q78" s="491"/>
      <c r="R78" s="492" t="s">
        <v>1538</v>
      </c>
      <c r="S78" s="493"/>
      <c r="T78" s="486"/>
      <c r="U78" s="486"/>
      <c r="V78" s="486"/>
    </row>
    <row r="79" spans="1:22" s="485" customFormat="1" ht="132" customHeight="1" x14ac:dyDescent="0.4">
      <c r="A79" s="485" t="s">
        <v>1303</v>
      </c>
      <c r="B79" s="486" t="s">
        <v>1539</v>
      </c>
      <c r="C79" s="505" t="s">
        <v>1540</v>
      </c>
      <c r="D79" s="506" t="s">
        <v>1084</v>
      </c>
      <c r="E79" s="489" t="s">
        <v>1541</v>
      </c>
      <c r="F79" s="490"/>
      <c r="G79" s="491" t="s">
        <v>1542</v>
      </c>
      <c r="H79" s="489" t="s">
        <v>1543</v>
      </c>
      <c r="I79" s="490" t="s">
        <v>1544</v>
      </c>
      <c r="J79" s="476" t="s">
        <v>1545</v>
      </c>
      <c r="K79" s="496" t="s">
        <v>1546</v>
      </c>
      <c r="L79" s="489" t="s">
        <v>1547</v>
      </c>
      <c r="M79" s="490" t="s">
        <v>1548</v>
      </c>
      <c r="N79" s="476" t="s">
        <v>1549</v>
      </c>
      <c r="O79" s="476" t="s">
        <v>1550</v>
      </c>
      <c r="P79" s="490" t="s">
        <v>1216</v>
      </c>
      <c r="Q79" s="491" t="s">
        <v>1551</v>
      </c>
      <c r="R79" s="496" t="s">
        <v>1546</v>
      </c>
      <c r="S79" s="493"/>
      <c r="T79" s="486" t="s">
        <v>1552</v>
      </c>
      <c r="U79" s="486"/>
      <c r="V79" s="486"/>
    </row>
    <row r="80" spans="1:22" x14ac:dyDescent="0.4">
      <c r="B80" s="322"/>
      <c r="C80" s="322"/>
      <c r="D80" s="472"/>
      <c r="E80" s="461"/>
      <c r="F80" s="462"/>
      <c r="G80" s="463"/>
      <c r="H80" s="461"/>
      <c r="I80" s="462"/>
      <c r="J80" s="463"/>
      <c r="K80" s="467"/>
      <c r="L80" s="461"/>
      <c r="M80" s="462"/>
      <c r="N80" s="463"/>
      <c r="O80" s="461"/>
      <c r="P80" s="462"/>
      <c r="Q80" s="463"/>
      <c r="R80" s="467"/>
      <c r="S80" s="471"/>
      <c r="T80" s="322"/>
      <c r="U80" s="322"/>
      <c r="V80" s="322"/>
    </row>
    <row r="81" spans="2:22" x14ac:dyDescent="0.4">
      <c r="B81" s="322"/>
      <c r="C81" s="322"/>
      <c r="D81" s="472"/>
      <c r="E81" s="461"/>
      <c r="F81" s="462"/>
      <c r="G81" s="463"/>
      <c r="H81" s="461"/>
      <c r="I81" s="462"/>
      <c r="J81" s="463"/>
      <c r="K81" s="467"/>
      <c r="L81" s="461"/>
      <c r="M81" s="462"/>
      <c r="N81" s="463"/>
      <c r="O81" s="461"/>
      <c r="P81" s="462"/>
      <c r="Q81" s="463"/>
      <c r="R81" s="467"/>
      <c r="S81" s="471"/>
      <c r="T81" s="322"/>
      <c r="U81" s="322"/>
      <c r="V81" s="322"/>
    </row>
    <row r="82" spans="2:22" x14ac:dyDescent="0.4">
      <c r="B82" s="322"/>
      <c r="C82" s="322"/>
      <c r="D82" s="472"/>
      <c r="E82" s="461"/>
      <c r="F82" s="462"/>
      <c r="G82" s="463"/>
      <c r="H82" s="461"/>
      <c r="I82" s="462"/>
      <c r="J82" s="463"/>
      <c r="K82" s="467"/>
      <c r="L82" s="461"/>
      <c r="M82" s="462"/>
      <c r="N82" s="463"/>
      <c r="O82" s="461"/>
      <c r="P82" s="462"/>
      <c r="Q82" s="463"/>
      <c r="R82" s="467"/>
      <c r="S82" s="471"/>
      <c r="T82" s="322"/>
      <c r="U82" s="322"/>
      <c r="V82" s="322"/>
    </row>
    <row r="83" spans="2:22" x14ac:dyDescent="0.4">
      <c r="B83" s="322"/>
      <c r="C83" s="322"/>
      <c r="D83" s="472"/>
      <c r="E83" s="461"/>
      <c r="F83" s="462"/>
      <c r="G83" s="463"/>
      <c r="H83" s="461"/>
      <c r="I83" s="462"/>
      <c r="J83" s="463"/>
      <c r="K83" s="467"/>
      <c r="L83" s="461"/>
      <c r="M83" s="462"/>
      <c r="N83" s="463"/>
      <c r="O83" s="461"/>
      <c r="P83" s="462"/>
      <c r="Q83" s="463"/>
      <c r="R83" s="467"/>
      <c r="S83" s="471"/>
      <c r="T83" s="322"/>
      <c r="U83" s="322"/>
      <c r="V83" s="322"/>
    </row>
    <row r="84" spans="2:22" x14ac:dyDescent="0.4">
      <c r="B84" s="322"/>
      <c r="C84" s="322"/>
      <c r="D84" s="472"/>
      <c r="E84" s="461"/>
      <c r="F84" s="462"/>
      <c r="G84" s="463"/>
      <c r="H84" s="461"/>
      <c r="I84" s="462"/>
      <c r="J84" s="463"/>
      <c r="K84" s="467"/>
      <c r="L84" s="461"/>
      <c r="M84" s="462"/>
      <c r="N84" s="463"/>
      <c r="O84" s="461"/>
      <c r="P84" s="462"/>
      <c r="Q84" s="463"/>
      <c r="R84" s="467"/>
      <c r="S84" s="471"/>
      <c r="T84" s="322"/>
      <c r="U84" s="322"/>
      <c r="V84" s="322"/>
    </row>
    <row r="85" spans="2:22" x14ac:dyDescent="0.4">
      <c r="B85" s="322"/>
      <c r="C85" s="322"/>
      <c r="D85" s="472"/>
      <c r="E85" s="461"/>
      <c r="F85" s="462"/>
      <c r="G85" s="463"/>
      <c r="H85" s="461"/>
      <c r="I85" s="462"/>
      <c r="J85" s="463"/>
      <c r="K85" s="467"/>
      <c r="L85" s="461"/>
      <c r="M85" s="462"/>
      <c r="N85" s="463"/>
      <c r="O85" s="461"/>
      <c r="P85" s="462"/>
      <c r="Q85" s="463"/>
      <c r="R85" s="467"/>
      <c r="S85" s="471"/>
      <c r="T85" s="322"/>
      <c r="U85" s="322"/>
      <c r="V85" s="322"/>
    </row>
    <row r="86" spans="2:22" x14ac:dyDescent="0.4">
      <c r="B86" s="322"/>
      <c r="C86" s="322"/>
      <c r="D86" s="472"/>
      <c r="E86" s="461"/>
      <c r="F86" s="462"/>
      <c r="G86" s="463"/>
      <c r="H86" s="461"/>
      <c r="I86" s="462"/>
      <c r="J86" s="463"/>
      <c r="K86" s="467"/>
      <c r="L86" s="461"/>
      <c r="M86" s="462"/>
      <c r="N86" s="463"/>
      <c r="O86" s="461"/>
      <c r="P86" s="462"/>
      <c r="Q86" s="463"/>
      <c r="R86" s="467"/>
      <c r="S86" s="471"/>
      <c r="T86" s="322"/>
      <c r="U86" s="322"/>
      <c r="V86" s="322"/>
    </row>
    <row r="87" spans="2:22" x14ac:dyDescent="0.4">
      <c r="B87" s="322"/>
      <c r="C87" s="322"/>
      <c r="D87" s="472"/>
      <c r="E87" s="461"/>
      <c r="F87" s="462"/>
      <c r="G87" s="463"/>
      <c r="H87" s="461"/>
      <c r="I87" s="462"/>
      <c r="J87" s="463"/>
      <c r="K87" s="467"/>
      <c r="L87" s="461"/>
      <c r="M87" s="462"/>
      <c r="N87" s="463"/>
      <c r="O87" s="461"/>
      <c r="P87" s="462"/>
      <c r="Q87" s="463"/>
      <c r="R87" s="467"/>
      <c r="S87" s="471"/>
      <c r="T87" s="322"/>
      <c r="U87" s="322"/>
      <c r="V87" s="322"/>
    </row>
    <row r="88" spans="2:22" x14ac:dyDescent="0.4">
      <c r="B88" s="322"/>
      <c r="C88" s="322"/>
      <c r="D88" s="472"/>
      <c r="E88" s="461"/>
      <c r="F88" s="462"/>
      <c r="G88" s="463"/>
      <c r="H88" s="461"/>
      <c r="I88" s="462"/>
      <c r="J88" s="463"/>
      <c r="K88" s="467"/>
      <c r="L88" s="461"/>
      <c r="M88" s="462"/>
      <c r="N88" s="463"/>
      <c r="O88" s="461"/>
      <c r="P88" s="462"/>
      <c r="Q88" s="463"/>
      <c r="R88" s="467"/>
      <c r="S88" s="471"/>
      <c r="T88" s="322"/>
      <c r="U88" s="322"/>
      <c r="V88" s="322"/>
    </row>
    <row r="89" spans="2:22" x14ac:dyDescent="0.4">
      <c r="B89" s="322"/>
      <c r="C89" s="322"/>
      <c r="D89" s="472"/>
      <c r="E89" s="461"/>
      <c r="F89" s="462"/>
      <c r="G89" s="463"/>
      <c r="H89" s="461"/>
      <c r="I89" s="462"/>
      <c r="J89" s="463"/>
      <c r="K89" s="467"/>
      <c r="L89" s="461"/>
      <c r="M89" s="462"/>
      <c r="N89" s="463"/>
      <c r="O89" s="461"/>
      <c r="P89" s="462"/>
      <c r="Q89" s="463"/>
      <c r="R89" s="467"/>
      <c r="S89" s="471"/>
      <c r="T89" s="322"/>
      <c r="U89" s="322"/>
      <c r="V89" s="322"/>
    </row>
    <row r="90" spans="2:22" x14ac:dyDescent="0.4">
      <c r="B90" s="322"/>
      <c r="C90" s="322"/>
      <c r="D90" s="472"/>
      <c r="E90" s="461"/>
      <c r="F90" s="462"/>
      <c r="G90" s="463"/>
      <c r="H90" s="461"/>
      <c r="I90" s="462"/>
      <c r="J90" s="463"/>
      <c r="K90" s="467"/>
      <c r="L90" s="461"/>
      <c r="M90" s="462"/>
      <c r="N90" s="463"/>
      <c r="O90" s="461"/>
      <c r="P90" s="462"/>
      <c r="Q90" s="463"/>
      <c r="R90" s="467"/>
      <c r="S90" s="471"/>
      <c r="T90" s="322"/>
      <c r="U90" s="322"/>
      <c r="V90" s="322"/>
    </row>
    <row r="91" spans="2:22" x14ac:dyDescent="0.4">
      <c r="B91" s="322"/>
      <c r="C91" s="322"/>
      <c r="D91" s="472"/>
      <c r="E91" s="461"/>
      <c r="F91" s="462"/>
      <c r="G91" s="463"/>
      <c r="H91" s="461"/>
      <c r="I91" s="462"/>
      <c r="J91" s="463"/>
      <c r="K91" s="467"/>
      <c r="L91" s="461"/>
      <c r="M91" s="462"/>
      <c r="N91" s="463"/>
      <c r="O91" s="461"/>
      <c r="P91" s="462"/>
      <c r="Q91" s="463"/>
      <c r="R91" s="467"/>
      <c r="S91" s="471"/>
      <c r="T91" s="322"/>
      <c r="U91" s="322"/>
      <c r="V91" s="322"/>
    </row>
    <row r="92" spans="2:22" x14ac:dyDescent="0.4">
      <c r="B92" s="322"/>
      <c r="C92" s="322"/>
      <c r="D92" s="472"/>
      <c r="E92" s="461"/>
      <c r="F92" s="462"/>
      <c r="G92" s="463"/>
      <c r="H92" s="461"/>
      <c r="I92" s="462"/>
      <c r="J92" s="463"/>
      <c r="K92" s="467"/>
      <c r="L92" s="461"/>
      <c r="M92" s="462"/>
      <c r="N92" s="463"/>
      <c r="O92" s="461"/>
      <c r="P92" s="462"/>
      <c r="Q92" s="463"/>
      <c r="R92" s="467"/>
      <c r="S92" s="471"/>
      <c r="T92" s="322"/>
      <c r="U92" s="322"/>
      <c r="V92" s="322"/>
    </row>
    <row r="93" spans="2:22" x14ac:dyDescent="0.4">
      <c r="B93" s="322"/>
      <c r="C93" s="322"/>
      <c r="D93" s="472"/>
      <c r="E93" s="461"/>
      <c r="F93" s="462"/>
      <c r="G93" s="463"/>
      <c r="H93" s="461"/>
      <c r="I93" s="462"/>
      <c r="J93" s="463"/>
      <c r="K93" s="467"/>
      <c r="L93" s="461"/>
      <c r="M93" s="462"/>
      <c r="N93" s="463"/>
      <c r="O93" s="461"/>
      <c r="P93" s="462"/>
      <c r="Q93" s="463"/>
      <c r="R93" s="467"/>
      <c r="S93" s="471"/>
      <c r="T93" s="322"/>
      <c r="U93" s="322"/>
      <c r="V93" s="322"/>
    </row>
    <row r="94" spans="2:22" x14ac:dyDescent="0.4">
      <c r="B94" s="322"/>
      <c r="C94" s="322"/>
      <c r="D94" s="472"/>
      <c r="E94" s="461"/>
      <c r="F94" s="462"/>
      <c r="G94" s="463"/>
      <c r="H94" s="461"/>
      <c r="I94" s="462"/>
      <c r="J94" s="463"/>
      <c r="K94" s="467"/>
      <c r="L94" s="461"/>
      <c r="M94" s="462"/>
      <c r="N94" s="463"/>
      <c r="O94" s="461"/>
      <c r="P94" s="462"/>
      <c r="Q94" s="463"/>
      <c r="R94" s="467"/>
      <c r="S94" s="471"/>
      <c r="T94" s="322"/>
      <c r="U94" s="322"/>
      <c r="V94" s="322"/>
    </row>
    <row r="95" spans="2:22" x14ac:dyDescent="0.4">
      <c r="B95" s="322"/>
      <c r="C95" s="322"/>
      <c r="D95" s="472"/>
      <c r="E95" s="461"/>
      <c r="F95" s="462"/>
      <c r="G95" s="463"/>
      <c r="H95" s="461"/>
      <c r="I95" s="462"/>
      <c r="J95" s="463"/>
      <c r="K95" s="467"/>
      <c r="L95" s="461"/>
      <c r="M95" s="462"/>
      <c r="N95" s="463"/>
      <c r="O95" s="461"/>
      <c r="P95" s="462"/>
      <c r="Q95" s="463"/>
      <c r="R95" s="467"/>
      <c r="S95" s="471"/>
      <c r="T95" s="322"/>
      <c r="U95" s="322"/>
      <c r="V95" s="322"/>
    </row>
    <row r="96" spans="2:22" x14ac:dyDescent="0.4">
      <c r="B96" s="322"/>
      <c r="C96" s="322"/>
      <c r="D96" s="472"/>
      <c r="E96" s="461"/>
      <c r="F96" s="462"/>
      <c r="G96" s="463"/>
      <c r="H96" s="461"/>
      <c r="I96" s="462"/>
      <c r="J96" s="463"/>
      <c r="K96" s="467"/>
      <c r="L96" s="461"/>
      <c r="M96" s="462"/>
      <c r="N96" s="463"/>
      <c r="O96" s="461"/>
      <c r="P96" s="462"/>
      <c r="Q96" s="463"/>
      <c r="R96" s="467"/>
      <c r="S96" s="471"/>
      <c r="T96" s="322"/>
      <c r="U96" s="322"/>
      <c r="V96" s="322"/>
    </row>
    <row r="97" spans="2:22" x14ac:dyDescent="0.4">
      <c r="B97" s="322"/>
      <c r="C97" s="322"/>
      <c r="D97" s="472"/>
      <c r="E97" s="461"/>
      <c r="F97" s="462"/>
      <c r="G97" s="463"/>
      <c r="H97" s="461"/>
      <c r="I97" s="462"/>
      <c r="J97" s="463"/>
      <c r="K97" s="467"/>
      <c r="L97" s="461"/>
      <c r="M97" s="462"/>
      <c r="N97" s="463"/>
      <c r="O97" s="461"/>
      <c r="P97" s="462"/>
      <c r="Q97" s="463"/>
      <c r="R97" s="467"/>
      <c r="S97" s="471"/>
      <c r="T97" s="322"/>
      <c r="U97" s="322"/>
      <c r="V97" s="322"/>
    </row>
    <row r="98" spans="2:22" x14ac:dyDescent="0.4">
      <c r="B98" s="322"/>
      <c r="C98" s="322"/>
      <c r="D98" s="472"/>
      <c r="E98" s="461"/>
      <c r="F98" s="462"/>
      <c r="G98" s="463"/>
      <c r="H98" s="461"/>
      <c r="I98" s="462"/>
      <c r="J98" s="463"/>
      <c r="K98" s="467"/>
      <c r="L98" s="461"/>
      <c r="M98" s="462"/>
      <c r="N98" s="463"/>
      <c r="O98" s="461"/>
      <c r="P98" s="462"/>
      <c r="Q98" s="463"/>
      <c r="R98" s="467"/>
      <c r="S98" s="471"/>
      <c r="T98" s="322"/>
      <c r="U98" s="322"/>
      <c r="V98" s="322"/>
    </row>
    <row r="99" spans="2:22" x14ac:dyDescent="0.4">
      <c r="B99" s="322"/>
      <c r="C99" s="322"/>
      <c r="D99" s="472"/>
      <c r="E99" s="461"/>
      <c r="F99" s="462"/>
      <c r="G99" s="463"/>
      <c r="H99" s="461"/>
      <c r="I99" s="462"/>
      <c r="J99" s="463"/>
      <c r="K99" s="467"/>
      <c r="L99" s="461"/>
      <c r="M99" s="462"/>
      <c r="N99" s="463"/>
      <c r="O99" s="461"/>
      <c r="P99" s="462"/>
      <c r="Q99" s="463"/>
      <c r="R99" s="467"/>
      <c r="S99" s="471"/>
      <c r="T99" s="322"/>
      <c r="U99" s="322"/>
      <c r="V99" s="322"/>
    </row>
    <row r="100" spans="2:22" x14ac:dyDescent="0.4">
      <c r="B100" s="322"/>
      <c r="C100" s="322"/>
      <c r="D100" s="472"/>
      <c r="E100" s="461"/>
      <c r="F100" s="462"/>
      <c r="G100" s="463"/>
      <c r="H100" s="461"/>
      <c r="I100" s="462"/>
      <c r="J100" s="463"/>
      <c r="K100" s="467"/>
      <c r="L100" s="461"/>
      <c r="M100" s="462"/>
      <c r="N100" s="463"/>
      <c r="O100" s="461"/>
      <c r="P100" s="462"/>
      <c r="Q100" s="463"/>
      <c r="R100" s="467"/>
      <c r="S100" s="471"/>
      <c r="T100" s="322"/>
      <c r="U100" s="322"/>
      <c r="V100" s="322"/>
    </row>
    <row r="101" spans="2:22" x14ac:dyDescent="0.4">
      <c r="B101" s="322"/>
      <c r="C101" s="322"/>
      <c r="D101" s="472"/>
      <c r="E101" s="461"/>
      <c r="F101" s="462"/>
      <c r="G101" s="463"/>
      <c r="H101" s="461"/>
      <c r="I101" s="462"/>
      <c r="J101" s="463"/>
      <c r="K101" s="467"/>
      <c r="L101" s="461"/>
      <c r="M101" s="462"/>
      <c r="N101" s="463"/>
      <c r="O101" s="461"/>
      <c r="P101" s="462"/>
      <c r="Q101" s="463"/>
      <c r="R101" s="467"/>
      <c r="S101" s="471"/>
      <c r="T101" s="322"/>
      <c r="U101" s="322"/>
      <c r="V101" s="322"/>
    </row>
    <row r="102" spans="2:22" x14ac:dyDescent="0.4">
      <c r="B102" s="322"/>
      <c r="C102" s="322"/>
      <c r="D102" s="472"/>
      <c r="E102" s="461"/>
      <c r="F102" s="462"/>
      <c r="G102" s="463"/>
      <c r="H102" s="461"/>
      <c r="I102" s="462"/>
      <c r="J102" s="463"/>
      <c r="K102" s="467"/>
      <c r="L102" s="461"/>
      <c r="M102" s="462"/>
      <c r="N102" s="463"/>
      <c r="O102" s="461"/>
      <c r="P102" s="462"/>
      <c r="Q102" s="463"/>
      <c r="R102" s="467"/>
      <c r="S102" s="471"/>
      <c r="T102" s="322"/>
      <c r="U102" s="322"/>
      <c r="V102" s="322"/>
    </row>
    <row r="103" spans="2:22" x14ac:dyDescent="0.4">
      <c r="B103" s="322"/>
      <c r="C103" s="322"/>
      <c r="D103" s="472"/>
      <c r="E103" s="461"/>
      <c r="F103" s="462"/>
      <c r="G103" s="463"/>
      <c r="H103" s="461"/>
      <c r="I103" s="462"/>
      <c r="J103" s="463"/>
      <c r="K103" s="467"/>
      <c r="L103" s="461"/>
      <c r="M103" s="462"/>
      <c r="N103" s="463"/>
      <c r="O103" s="461"/>
      <c r="P103" s="462"/>
      <c r="Q103" s="463"/>
      <c r="R103" s="467"/>
      <c r="S103" s="471"/>
      <c r="T103" s="322"/>
      <c r="U103" s="322"/>
      <c r="V103" s="322"/>
    </row>
    <row r="104" spans="2:22" x14ac:dyDescent="0.4">
      <c r="B104" s="322"/>
      <c r="C104" s="322"/>
      <c r="D104" s="472"/>
      <c r="E104" s="461"/>
      <c r="F104" s="462"/>
      <c r="G104" s="463"/>
      <c r="H104" s="461"/>
      <c r="I104" s="462"/>
      <c r="J104" s="463"/>
      <c r="K104" s="467"/>
      <c r="L104" s="461"/>
      <c r="M104" s="462"/>
      <c r="N104" s="463"/>
      <c r="O104" s="461"/>
      <c r="P104" s="462"/>
      <c r="Q104" s="463"/>
      <c r="R104" s="467"/>
      <c r="S104" s="471"/>
      <c r="T104" s="322"/>
      <c r="U104" s="322"/>
      <c r="V104" s="322"/>
    </row>
    <row r="105" spans="2:22" x14ac:dyDescent="0.4">
      <c r="B105" s="322"/>
      <c r="C105" s="322"/>
      <c r="D105" s="472"/>
      <c r="E105" s="461"/>
      <c r="F105" s="462"/>
      <c r="G105" s="463"/>
      <c r="H105" s="461"/>
      <c r="I105" s="462"/>
      <c r="J105" s="463"/>
      <c r="K105" s="467"/>
      <c r="L105" s="461"/>
      <c r="M105" s="462"/>
      <c r="N105" s="463"/>
      <c r="O105" s="461"/>
      <c r="P105" s="462"/>
      <c r="Q105" s="463"/>
      <c r="R105" s="467"/>
      <c r="S105" s="471"/>
      <c r="T105" s="322"/>
      <c r="U105" s="322"/>
      <c r="V105" s="322"/>
    </row>
    <row r="106" spans="2:22" x14ac:dyDescent="0.4">
      <c r="B106" s="322"/>
      <c r="C106" s="322"/>
      <c r="D106" s="472"/>
      <c r="E106" s="461"/>
      <c r="F106" s="462"/>
      <c r="G106" s="463"/>
      <c r="H106" s="461"/>
      <c r="I106" s="462"/>
      <c r="J106" s="463"/>
      <c r="K106" s="467"/>
      <c r="L106" s="461"/>
      <c r="M106" s="462"/>
      <c r="N106" s="463"/>
      <c r="O106" s="461"/>
      <c r="P106" s="462"/>
      <c r="Q106" s="463"/>
      <c r="R106" s="467"/>
      <c r="S106" s="471"/>
      <c r="T106" s="322"/>
      <c r="U106" s="322"/>
      <c r="V106" s="322"/>
    </row>
    <row r="107" spans="2:22" x14ac:dyDescent="0.4">
      <c r="B107" s="322"/>
      <c r="C107" s="322"/>
      <c r="D107" s="472"/>
      <c r="E107" s="461"/>
      <c r="F107" s="462"/>
      <c r="G107" s="463"/>
      <c r="H107" s="461"/>
      <c r="I107" s="462"/>
      <c r="J107" s="463"/>
      <c r="K107" s="467"/>
      <c r="L107" s="461"/>
      <c r="M107" s="462"/>
      <c r="N107" s="463"/>
      <c r="O107" s="461"/>
      <c r="P107" s="462"/>
      <c r="Q107" s="463"/>
      <c r="R107" s="467"/>
      <c r="S107" s="471"/>
      <c r="T107" s="322"/>
      <c r="U107" s="322"/>
      <c r="V107" s="322"/>
    </row>
    <row r="108" spans="2:22" x14ac:dyDescent="0.4">
      <c r="B108" s="322"/>
      <c r="C108" s="322"/>
      <c r="D108" s="472"/>
      <c r="E108" s="461"/>
      <c r="F108" s="462"/>
      <c r="G108" s="463"/>
      <c r="H108" s="461"/>
      <c r="I108" s="462"/>
      <c r="J108" s="463"/>
      <c r="K108" s="467"/>
      <c r="L108" s="461"/>
      <c r="M108" s="462"/>
      <c r="N108" s="463"/>
      <c r="O108" s="461"/>
      <c r="P108" s="462"/>
      <c r="Q108" s="463"/>
      <c r="R108" s="467"/>
      <c r="S108" s="471"/>
      <c r="T108" s="322"/>
      <c r="U108" s="322"/>
      <c r="V108" s="322"/>
    </row>
    <row r="109" spans="2:22" x14ac:dyDescent="0.4">
      <c r="B109" s="322"/>
      <c r="C109" s="322"/>
      <c r="D109" s="472"/>
      <c r="E109" s="461"/>
      <c r="F109" s="462"/>
      <c r="G109" s="463"/>
      <c r="H109" s="461"/>
      <c r="I109" s="462"/>
      <c r="J109" s="463"/>
      <c r="K109" s="467"/>
      <c r="L109" s="461"/>
      <c r="M109" s="462"/>
      <c r="N109" s="463"/>
      <c r="O109" s="461"/>
      <c r="P109" s="462"/>
      <c r="Q109" s="463"/>
      <c r="R109" s="467"/>
      <c r="S109" s="471"/>
      <c r="T109" s="322"/>
      <c r="U109" s="322"/>
      <c r="V109" s="322"/>
    </row>
    <row r="110" spans="2:22" x14ac:dyDescent="0.4">
      <c r="B110" s="322"/>
      <c r="C110" s="322"/>
      <c r="D110" s="472"/>
      <c r="E110" s="461"/>
      <c r="F110" s="462"/>
      <c r="G110" s="463"/>
      <c r="H110" s="461"/>
      <c r="I110" s="462"/>
      <c r="J110" s="463"/>
      <c r="K110" s="467"/>
      <c r="L110" s="461"/>
      <c r="M110" s="462"/>
      <c r="N110" s="463"/>
      <c r="O110" s="461"/>
      <c r="P110" s="462"/>
      <c r="Q110" s="463"/>
      <c r="R110" s="467"/>
      <c r="S110" s="471"/>
      <c r="T110" s="322"/>
      <c r="U110" s="322"/>
      <c r="V110" s="322"/>
    </row>
    <row r="111" spans="2:22" x14ac:dyDescent="0.4">
      <c r="B111" s="322"/>
      <c r="C111" s="322"/>
      <c r="D111" s="472"/>
      <c r="E111" s="461"/>
      <c r="F111" s="462"/>
      <c r="G111" s="463"/>
      <c r="H111" s="461"/>
      <c r="I111" s="462"/>
      <c r="J111" s="463"/>
      <c r="K111" s="467"/>
      <c r="L111" s="461"/>
      <c r="M111" s="462"/>
      <c r="N111" s="463"/>
      <c r="O111" s="461"/>
      <c r="P111" s="462"/>
      <c r="Q111" s="463"/>
      <c r="R111" s="467"/>
      <c r="S111" s="471"/>
      <c r="T111" s="322"/>
      <c r="U111" s="322"/>
      <c r="V111" s="322"/>
    </row>
    <row r="112" spans="2:22" x14ac:dyDescent="0.4">
      <c r="B112" s="322"/>
      <c r="C112" s="322"/>
      <c r="D112" s="472"/>
      <c r="E112" s="461"/>
      <c r="F112" s="462"/>
      <c r="G112" s="463"/>
      <c r="H112" s="461"/>
      <c r="I112" s="462"/>
      <c r="J112" s="463"/>
      <c r="K112" s="467"/>
      <c r="L112" s="461"/>
      <c r="M112" s="462"/>
      <c r="N112" s="463"/>
      <c r="O112" s="461"/>
      <c r="P112" s="462"/>
      <c r="Q112" s="463"/>
      <c r="R112" s="467"/>
      <c r="S112" s="471"/>
      <c r="T112" s="322"/>
      <c r="U112" s="322"/>
      <c r="V112" s="322"/>
    </row>
    <row r="113" spans="2:22" x14ac:dyDescent="0.4">
      <c r="B113" s="322"/>
      <c r="C113" s="322"/>
      <c r="D113" s="472"/>
      <c r="E113" s="461"/>
      <c r="F113" s="462"/>
      <c r="G113" s="463"/>
      <c r="H113" s="461"/>
      <c r="I113" s="462"/>
      <c r="J113" s="463"/>
      <c r="K113" s="467"/>
      <c r="L113" s="461"/>
      <c r="M113" s="462"/>
      <c r="N113" s="463"/>
      <c r="O113" s="461"/>
      <c r="P113" s="462"/>
      <c r="Q113" s="463"/>
      <c r="R113" s="467"/>
      <c r="S113" s="471"/>
      <c r="T113" s="322"/>
      <c r="U113" s="322"/>
      <c r="V113" s="322"/>
    </row>
    <row r="114" spans="2:22" x14ac:dyDescent="0.4">
      <c r="B114" s="322"/>
      <c r="C114" s="322"/>
      <c r="D114" s="472"/>
      <c r="E114" s="461"/>
      <c r="F114" s="462"/>
      <c r="G114" s="463"/>
      <c r="H114" s="461"/>
      <c r="I114" s="462"/>
      <c r="J114" s="463"/>
      <c r="K114" s="467"/>
      <c r="L114" s="461"/>
      <c r="M114" s="462"/>
      <c r="N114" s="463"/>
      <c r="O114" s="461"/>
      <c r="P114" s="462"/>
      <c r="Q114" s="463"/>
      <c r="R114" s="467"/>
      <c r="S114" s="471"/>
      <c r="T114" s="322"/>
      <c r="U114" s="322"/>
      <c r="V114" s="322"/>
    </row>
    <row r="115" spans="2:22" x14ac:dyDescent="0.4">
      <c r="B115" s="322"/>
      <c r="C115" s="322"/>
      <c r="D115" s="472"/>
      <c r="E115" s="461"/>
      <c r="F115" s="462"/>
      <c r="G115" s="463"/>
      <c r="H115" s="461"/>
      <c r="I115" s="462"/>
      <c r="J115" s="463"/>
      <c r="K115" s="467"/>
      <c r="L115" s="461"/>
      <c r="M115" s="462"/>
      <c r="N115" s="463"/>
      <c r="O115" s="461"/>
      <c r="P115" s="462"/>
      <c r="Q115" s="463"/>
      <c r="R115" s="467"/>
      <c r="S115" s="471"/>
      <c r="T115" s="322"/>
      <c r="U115" s="322"/>
      <c r="V115" s="322"/>
    </row>
    <row r="116" spans="2:22" x14ac:dyDescent="0.4">
      <c r="B116" s="322"/>
      <c r="C116" s="322"/>
      <c r="D116" s="472"/>
      <c r="E116" s="461"/>
      <c r="F116" s="462"/>
      <c r="G116" s="463"/>
      <c r="H116" s="461"/>
      <c r="I116" s="462"/>
      <c r="J116" s="463"/>
      <c r="K116" s="467"/>
      <c r="L116" s="461"/>
      <c r="M116" s="462"/>
      <c r="N116" s="463"/>
      <c r="O116" s="461"/>
      <c r="P116" s="462"/>
      <c r="Q116" s="463"/>
      <c r="R116" s="467"/>
      <c r="S116" s="471"/>
      <c r="T116" s="322"/>
      <c r="U116" s="322"/>
      <c r="V116" s="322"/>
    </row>
    <row r="117" spans="2:22" x14ac:dyDescent="0.4">
      <c r="B117" s="322"/>
      <c r="C117" s="322"/>
      <c r="D117" s="472"/>
      <c r="E117" s="461"/>
      <c r="F117" s="462"/>
      <c r="G117" s="463"/>
      <c r="H117" s="461"/>
      <c r="I117" s="462"/>
      <c r="J117" s="463"/>
      <c r="K117" s="467"/>
      <c r="L117" s="461"/>
      <c r="M117" s="462"/>
      <c r="N117" s="463"/>
      <c r="O117" s="461"/>
      <c r="P117" s="462"/>
      <c r="Q117" s="463"/>
      <c r="R117" s="467"/>
      <c r="S117" s="471"/>
      <c r="T117" s="322"/>
      <c r="U117" s="322"/>
      <c r="V117" s="322"/>
    </row>
    <row r="118" spans="2:22" x14ac:dyDescent="0.4">
      <c r="B118" s="322"/>
      <c r="C118" s="322"/>
      <c r="D118" s="472"/>
      <c r="E118" s="461"/>
      <c r="F118" s="462"/>
      <c r="G118" s="463"/>
      <c r="H118" s="461"/>
      <c r="I118" s="462"/>
      <c r="J118" s="463"/>
      <c r="K118" s="467"/>
      <c r="L118" s="461"/>
      <c r="M118" s="462"/>
      <c r="N118" s="463"/>
      <c r="O118" s="461"/>
      <c r="P118" s="462"/>
      <c r="Q118" s="463"/>
      <c r="R118" s="467"/>
      <c r="S118" s="471"/>
      <c r="T118" s="322"/>
      <c r="U118" s="322"/>
      <c r="V118" s="322"/>
    </row>
    <row r="119" spans="2:22" x14ac:dyDescent="0.4">
      <c r="B119" s="322"/>
      <c r="C119" s="322"/>
      <c r="D119" s="472"/>
      <c r="E119" s="461"/>
      <c r="F119" s="462"/>
      <c r="G119" s="463"/>
      <c r="H119" s="461"/>
      <c r="I119" s="462"/>
      <c r="J119" s="463"/>
      <c r="K119" s="467"/>
      <c r="L119" s="461"/>
      <c r="M119" s="462"/>
      <c r="N119" s="463"/>
      <c r="O119" s="461"/>
      <c r="P119" s="462"/>
      <c r="Q119" s="463"/>
      <c r="R119" s="467"/>
      <c r="S119" s="471"/>
      <c r="T119" s="322"/>
      <c r="U119" s="322"/>
      <c r="V119" s="322"/>
    </row>
    <row r="120" spans="2:22" x14ac:dyDescent="0.4">
      <c r="B120" s="322"/>
      <c r="C120" s="322"/>
      <c r="D120" s="472"/>
      <c r="E120" s="461"/>
      <c r="F120" s="462"/>
      <c r="G120" s="463"/>
      <c r="H120" s="461"/>
      <c r="I120" s="462"/>
      <c r="J120" s="463"/>
      <c r="K120" s="467"/>
      <c r="L120" s="461"/>
      <c r="M120" s="462"/>
      <c r="N120" s="463"/>
      <c r="O120" s="461"/>
      <c r="P120" s="462"/>
      <c r="Q120" s="463"/>
      <c r="R120" s="467"/>
      <c r="S120" s="471"/>
      <c r="T120" s="322"/>
      <c r="U120" s="322"/>
      <c r="V120" s="322"/>
    </row>
    <row r="121" spans="2:22" x14ac:dyDescent="0.4">
      <c r="B121" s="322"/>
      <c r="C121" s="322"/>
      <c r="D121" s="472"/>
      <c r="E121" s="461"/>
      <c r="F121" s="462"/>
      <c r="G121" s="463"/>
      <c r="H121" s="461"/>
      <c r="I121" s="462"/>
      <c r="J121" s="463"/>
      <c r="K121" s="467"/>
      <c r="L121" s="461"/>
      <c r="M121" s="462"/>
      <c r="N121" s="463"/>
      <c r="O121" s="461"/>
      <c r="P121" s="462"/>
      <c r="Q121" s="463"/>
      <c r="R121" s="467"/>
      <c r="S121" s="471"/>
      <c r="T121" s="322"/>
      <c r="U121" s="322"/>
      <c r="V121" s="322"/>
    </row>
    <row r="122" spans="2:22" x14ac:dyDescent="0.4">
      <c r="B122" s="322"/>
      <c r="C122" s="322"/>
      <c r="D122" s="472"/>
      <c r="E122" s="461"/>
      <c r="F122" s="462"/>
      <c r="G122" s="463"/>
      <c r="H122" s="461"/>
      <c r="I122" s="462"/>
      <c r="J122" s="463"/>
      <c r="K122" s="467"/>
      <c r="L122" s="461"/>
      <c r="M122" s="462"/>
      <c r="N122" s="463"/>
      <c r="O122" s="461"/>
      <c r="P122" s="462"/>
      <c r="Q122" s="463"/>
      <c r="R122" s="467"/>
      <c r="S122" s="471"/>
      <c r="T122" s="322"/>
      <c r="U122" s="322"/>
      <c r="V122" s="322"/>
    </row>
    <row r="123" spans="2:22" x14ac:dyDescent="0.4">
      <c r="B123" s="322"/>
      <c r="C123" s="322"/>
      <c r="D123" s="472"/>
      <c r="E123" s="461"/>
      <c r="F123" s="462"/>
      <c r="G123" s="463"/>
      <c r="H123" s="461"/>
      <c r="I123" s="462"/>
      <c r="J123" s="463"/>
      <c r="K123" s="467"/>
      <c r="L123" s="461"/>
      <c r="M123" s="462"/>
      <c r="N123" s="463"/>
      <c r="O123" s="461"/>
      <c r="P123" s="462"/>
      <c r="Q123" s="463"/>
      <c r="R123" s="467"/>
      <c r="S123" s="471"/>
      <c r="T123" s="322"/>
      <c r="U123" s="322"/>
      <c r="V123" s="322"/>
    </row>
    <row r="124" spans="2:22" x14ac:dyDescent="0.4">
      <c r="B124" s="322"/>
      <c r="C124" s="322"/>
      <c r="D124" s="472"/>
      <c r="E124" s="461"/>
      <c r="F124" s="462"/>
      <c r="G124" s="463"/>
      <c r="H124" s="461"/>
      <c r="I124" s="462"/>
      <c r="J124" s="463"/>
      <c r="K124" s="467"/>
      <c r="L124" s="461"/>
      <c r="M124" s="462"/>
      <c r="N124" s="463"/>
      <c r="O124" s="461"/>
      <c r="P124" s="462"/>
      <c r="Q124" s="463"/>
      <c r="R124" s="467"/>
      <c r="S124" s="471"/>
      <c r="T124" s="322"/>
      <c r="U124" s="322"/>
      <c r="V124" s="322"/>
    </row>
    <row r="125" spans="2:22" x14ac:dyDescent="0.4">
      <c r="B125" s="322"/>
      <c r="C125" s="322"/>
      <c r="D125" s="472"/>
      <c r="E125" s="461"/>
      <c r="F125" s="462"/>
      <c r="G125" s="463"/>
      <c r="H125" s="461"/>
      <c r="I125" s="462"/>
      <c r="J125" s="463"/>
      <c r="K125" s="467"/>
      <c r="L125" s="461"/>
      <c r="M125" s="462"/>
      <c r="N125" s="463"/>
      <c r="O125" s="461"/>
      <c r="P125" s="462"/>
      <c r="Q125" s="463"/>
      <c r="R125" s="467"/>
      <c r="S125" s="471"/>
      <c r="T125" s="322"/>
      <c r="U125" s="322"/>
      <c r="V125" s="322"/>
    </row>
    <row r="126" spans="2:22" x14ac:dyDescent="0.4">
      <c r="B126" s="322"/>
      <c r="C126" s="322"/>
      <c r="D126" s="472"/>
      <c r="E126" s="461"/>
      <c r="F126" s="462"/>
      <c r="G126" s="463"/>
      <c r="H126" s="461"/>
      <c r="I126" s="462"/>
      <c r="J126" s="463"/>
      <c r="K126" s="467"/>
      <c r="L126" s="461"/>
      <c r="M126" s="462"/>
      <c r="N126" s="463"/>
      <c r="O126" s="461"/>
      <c r="P126" s="462"/>
      <c r="Q126" s="463"/>
      <c r="R126" s="467"/>
      <c r="S126" s="471"/>
      <c r="T126" s="322"/>
      <c r="U126" s="322"/>
      <c r="V126" s="322"/>
    </row>
    <row r="127" spans="2:22" x14ac:dyDescent="0.4">
      <c r="B127" s="322"/>
      <c r="C127" s="322"/>
      <c r="D127" s="472"/>
      <c r="E127" s="461"/>
      <c r="F127" s="462"/>
      <c r="G127" s="463"/>
      <c r="H127" s="461"/>
      <c r="I127" s="462"/>
      <c r="J127" s="463"/>
      <c r="K127" s="467"/>
      <c r="L127" s="461"/>
      <c r="M127" s="462"/>
      <c r="N127" s="463"/>
      <c r="O127" s="461"/>
      <c r="P127" s="462"/>
      <c r="Q127" s="463"/>
      <c r="R127" s="467"/>
      <c r="S127" s="471"/>
      <c r="T127" s="322"/>
      <c r="U127" s="322"/>
      <c r="V127" s="322"/>
    </row>
    <row r="128" spans="2:22" x14ac:dyDescent="0.4">
      <c r="B128" s="322"/>
      <c r="C128" s="322"/>
      <c r="D128" s="472"/>
      <c r="E128" s="461"/>
      <c r="F128" s="462"/>
      <c r="G128" s="463"/>
      <c r="H128" s="461"/>
      <c r="I128" s="462"/>
      <c r="J128" s="463"/>
      <c r="K128" s="467"/>
      <c r="L128" s="461"/>
      <c r="M128" s="462"/>
      <c r="N128" s="463"/>
      <c r="O128" s="461"/>
      <c r="P128" s="462"/>
      <c r="Q128" s="463"/>
      <c r="R128" s="467"/>
      <c r="S128" s="471"/>
      <c r="T128" s="322"/>
      <c r="U128" s="322"/>
      <c r="V128" s="322"/>
    </row>
    <row r="129" spans="2:22" x14ac:dyDescent="0.4">
      <c r="B129" s="322"/>
      <c r="C129" s="322"/>
      <c r="D129" s="472"/>
      <c r="E129" s="461"/>
      <c r="F129" s="462"/>
      <c r="G129" s="463"/>
      <c r="H129" s="461"/>
      <c r="I129" s="462"/>
      <c r="J129" s="463"/>
      <c r="K129" s="467"/>
      <c r="L129" s="461"/>
      <c r="M129" s="462"/>
      <c r="N129" s="463"/>
      <c r="O129" s="461"/>
      <c r="P129" s="462"/>
      <c r="Q129" s="463"/>
      <c r="R129" s="467"/>
      <c r="S129" s="471"/>
      <c r="T129" s="322"/>
      <c r="U129" s="322"/>
      <c r="V129" s="322"/>
    </row>
    <row r="130" spans="2:22" x14ac:dyDescent="0.4">
      <c r="B130" s="322"/>
      <c r="C130" s="322"/>
      <c r="D130" s="472"/>
      <c r="E130" s="461"/>
      <c r="F130" s="462"/>
      <c r="G130" s="463"/>
      <c r="H130" s="461"/>
      <c r="I130" s="462"/>
      <c r="J130" s="463"/>
      <c r="K130" s="467"/>
      <c r="L130" s="461"/>
      <c r="M130" s="462"/>
      <c r="N130" s="463"/>
      <c r="O130" s="461"/>
      <c r="P130" s="462"/>
      <c r="Q130" s="463"/>
      <c r="R130" s="467"/>
      <c r="S130" s="471"/>
      <c r="T130" s="322"/>
      <c r="U130" s="322"/>
      <c r="V130" s="322"/>
    </row>
    <row r="131" spans="2:22" x14ac:dyDescent="0.4">
      <c r="B131" s="322"/>
      <c r="C131" s="322"/>
      <c r="D131" s="472"/>
      <c r="E131" s="461"/>
      <c r="F131" s="462"/>
      <c r="G131" s="463"/>
      <c r="H131" s="461"/>
      <c r="I131" s="462"/>
      <c r="J131" s="463"/>
      <c r="K131" s="467"/>
      <c r="L131" s="461"/>
      <c r="M131" s="462"/>
      <c r="N131" s="463"/>
      <c r="O131" s="461"/>
      <c r="P131" s="462"/>
      <c r="Q131" s="463"/>
      <c r="R131" s="467"/>
      <c r="S131" s="471"/>
      <c r="T131" s="322"/>
      <c r="U131" s="322"/>
      <c r="V131" s="322"/>
    </row>
    <row r="132" spans="2:22" x14ac:dyDescent="0.4">
      <c r="B132" s="322"/>
      <c r="C132" s="322"/>
      <c r="D132" s="472"/>
      <c r="E132" s="461"/>
      <c r="F132" s="462"/>
      <c r="G132" s="463"/>
      <c r="H132" s="461"/>
      <c r="I132" s="462"/>
      <c r="J132" s="463"/>
      <c r="K132" s="467"/>
      <c r="L132" s="461"/>
      <c r="M132" s="462"/>
      <c r="N132" s="463"/>
      <c r="O132" s="461"/>
      <c r="P132" s="462"/>
      <c r="Q132" s="463"/>
      <c r="R132" s="467"/>
      <c r="S132" s="471"/>
      <c r="T132" s="322"/>
      <c r="U132" s="322"/>
      <c r="V132" s="322"/>
    </row>
    <row r="133" spans="2:22" x14ac:dyDescent="0.4">
      <c r="B133" s="322"/>
      <c r="C133" s="322"/>
      <c r="D133" s="472"/>
      <c r="E133" s="461"/>
      <c r="F133" s="462"/>
      <c r="G133" s="463"/>
      <c r="H133" s="461"/>
      <c r="I133" s="462"/>
      <c r="J133" s="463"/>
      <c r="K133" s="467"/>
      <c r="L133" s="461"/>
      <c r="M133" s="462"/>
      <c r="N133" s="463"/>
      <c r="O133" s="461"/>
      <c r="P133" s="462"/>
      <c r="Q133" s="463"/>
      <c r="R133" s="467"/>
      <c r="S133" s="471"/>
      <c r="T133" s="322"/>
      <c r="U133" s="322"/>
      <c r="V133" s="322"/>
    </row>
    <row r="134" spans="2:22" x14ac:dyDescent="0.4">
      <c r="B134" s="322"/>
      <c r="C134" s="322"/>
      <c r="D134" s="472"/>
      <c r="E134" s="461"/>
      <c r="F134" s="462"/>
      <c r="G134" s="463"/>
      <c r="H134" s="461"/>
      <c r="I134" s="462"/>
      <c r="J134" s="463"/>
      <c r="K134" s="467"/>
      <c r="L134" s="461"/>
      <c r="M134" s="462"/>
      <c r="N134" s="463"/>
      <c r="O134" s="461"/>
      <c r="P134" s="462"/>
      <c r="Q134" s="463"/>
      <c r="R134" s="467"/>
      <c r="S134" s="471"/>
      <c r="T134" s="322"/>
      <c r="U134" s="322"/>
      <c r="V134" s="322"/>
    </row>
    <row r="135" spans="2:22" x14ac:dyDescent="0.4">
      <c r="B135" s="322"/>
      <c r="C135" s="322"/>
      <c r="D135" s="472"/>
      <c r="E135" s="461"/>
      <c r="F135" s="462"/>
      <c r="G135" s="463"/>
      <c r="H135" s="461"/>
      <c r="I135" s="462"/>
      <c r="J135" s="463"/>
      <c r="K135" s="467"/>
      <c r="L135" s="461"/>
      <c r="M135" s="462"/>
      <c r="N135" s="463"/>
      <c r="O135" s="461"/>
      <c r="P135" s="462"/>
      <c r="Q135" s="463"/>
      <c r="R135" s="467"/>
      <c r="S135" s="471"/>
      <c r="T135" s="322"/>
      <c r="U135" s="322"/>
      <c r="V135" s="322"/>
    </row>
    <row r="136" spans="2:22" x14ac:dyDescent="0.4">
      <c r="B136" s="322"/>
      <c r="C136" s="322"/>
      <c r="D136" s="472"/>
      <c r="E136" s="461"/>
      <c r="F136" s="462"/>
      <c r="G136" s="463"/>
      <c r="H136" s="461"/>
      <c r="I136" s="462"/>
      <c r="J136" s="463"/>
      <c r="K136" s="467"/>
      <c r="L136" s="461"/>
      <c r="M136" s="462"/>
      <c r="N136" s="463"/>
      <c r="O136" s="461"/>
      <c r="P136" s="462"/>
      <c r="Q136" s="463"/>
      <c r="R136" s="467"/>
      <c r="S136" s="471"/>
      <c r="T136" s="322"/>
      <c r="U136" s="322"/>
      <c r="V136" s="322"/>
    </row>
    <row r="137" spans="2:22" x14ac:dyDescent="0.4">
      <c r="B137" s="322"/>
      <c r="C137" s="322"/>
      <c r="D137" s="472"/>
      <c r="E137" s="461"/>
      <c r="F137" s="462"/>
      <c r="G137" s="463"/>
      <c r="H137" s="461"/>
      <c r="I137" s="462"/>
      <c r="J137" s="463"/>
      <c r="K137" s="467"/>
      <c r="L137" s="461"/>
      <c r="M137" s="462"/>
      <c r="N137" s="463"/>
      <c r="O137" s="461"/>
      <c r="P137" s="462"/>
      <c r="Q137" s="463"/>
      <c r="R137" s="467"/>
      <c r="S137" s="471"/>
      <c r="T137" s="322"/>
      <c r="U137" s="322"/>
      <c r="V137" s="322"/>
    </row>
    <row r="138" spans="2:22" x14ac:dyDescent="0.4">
      <c r="B138" s="322"/>
      <c r="C138" s="322"/>
      <c r="D138" s="472"/>
      <c r="E138" s="461"/>
      <c r="F138" s="462"/>
      <c r="G138" s="463"/>
      <c r="H138" s="461"/>
      <c r="I138" s="462"/>
      <c r="J138" s="463"/>
      <c r="K138" s="467"/>
      <c r="L138" s="461"/>
      <c r="M138" s="462"/>
      <c r="N138" s="463"/>
      <c r="O138" s="461"/>
      <c r="P138" s="462"/>
      <c r="Q138" s="463"/>
      <c r="R138" s="467"/>
      <c r="S138" s="471"/>
      <c r="T138" s="322"/>
      <c r="U138" s="322"/>
      <c r="V138" s="322"/>
    </row>
    <row r="139" spans="2:22" x14ac:dyDescent="0.4">
      <c r="B139" s="322"/>
      <c r="C139" s="322"/>
      <c r="D139" s="472"/>
      <c r="E139" s="461"/>
      <c r="F139" s="462"/>
      <c r="G139" s="463"/>
      <c r="H139" s="461"/>
      <c r="I139" s="462"/>
      <c r="J139" s="463"/>
      <c r="K139" s="467"/>
      <c r="L139" s="461"/>
      <c r="M139" s="462"/>
      <c r="N139" s="463"/>
      <c r="O139" s="461"/>
      <c r="P139" s="462"/>
      <c r="Q139" s="463"/>
      <c r="R139" s="467"/>
      <c r="S139" s="471"/>
      <c r="T139" s="322"/>
      <c r="U139" s="322"/>
      <c r="V139" s="322"/>
    </row>
    <row r="140" spans="2:22" x14ac:dyDescent="0.4">
      <c r="B140" s="322"/>
      <c r="C140" s="322"/>
      <c r="D140" s="472"/>
      <c r="E140" s="461"/>
      <c r="F140" s="462"/>
      <c r="G140" s="463"/>
      <c r="H140" s="461"/>
      <c r="I140" s="462"/>
      <c r="J140" s="463"/>
      <c r="K140" s="467"/>
      <c r="L140" s="461"/>
      <c r="M140" s="462"/>
      <c r="N140" s="463"/>
      <c r="O140" s="461"/>
      <c r="P140" s="462"/>
      <c r="Q140" s="463"/>
      <c r="R140" s="467"/>
      <c r="S140" s="471"/>
      <c r="T140" s="322"/>
      <c r="U140" s="322"/>
      <c r="V140" s="322"/>
    </row>
    <row r="141" spans="2:22" x14ac:dyDescent="0.4">
      <c r="B141" s="322"/>
      <c r="C141" s="322"/>
      <c r="D141" s="472"/>
      <c r="E141" s="461"/>
      <c r="F141" s="462"/>
      <c r="G141" s="463"/>
      <c r="H141" s="461"/>
      <c r="I141" s="462"/>
      <c r="J141" s="463"/>
      <c r="K141" s="467"/>
      <c r="L141" s="461"/>
      <c r="M141" s="462"/>
      <c r="N141" s="463"/>
      <c r="O141" s="461"/>
      <c r="P141" s="462"/>
      <c r="Q141" s="463"/>
      <c r="R141" s="467"/>
      <c r="S141" s="471"/>
      <c r="T141" s="322"/>
      <c r="U141" s="322"/>
      <c r="V141" s="322"/>
    </row>
    <row r="142" spans="2:22" x14ac:dyDescent="0.4">
      <c r="B142" s="322"/>
      <c r="C142" s="322"/>
      <c r="D142" s="472"/>
      <c r="E142" s="461"/>
      <c r="F142" s="462"/>
      <c r="G142" s="463"/>
      <c r="H142" s="461"/>
      <c r="I142" s="462"/>
      <c r="J142" s="463"/>
      <c r="K142" s="467"/>
      <c r="L142" s="461"/>
      <c r="M142" s="462"/>
      <c r="N142" s="463"/>
      <c r="O142" s="461"/>
      <c r="P142" s="462"/>
      <c r="Q142" s="463"/>
      <c r="R142" s="467"/>
      <c r="S142" s="471"/>
      <c r="T142" s="322"/>
      <c r="U142" s="322"/>
      <c r="V142" s="322"/>
    </row>
    <row r="143" spans="2:22" x14ac:dyDescent="0.4">
      <c r="B143" s="322"/>
      <c r="C143" s="322"/>
      <c r="D143" s="472"/>
      <c r="E143" s="461"/>
      <c r="F143" s="462"/>
      <c r="G143" s="463"/>
      <c r="H143" s="461"/>
      <c r="I143" s="462"/>
      <c r="J143" s="463"/>
      <c r="K143" s="467"/>
      <c r="L143" s="461"/>
      <c r="M143" s="462"/>
      <c r="N143" s="463"/>
      <c r="O143" s="461"/>
      <c r="P143" s="462"/>
      <c r="Q143" s="463"/>
      <c r="R143" s="467"/>
      <c r="S143" s="471"/>
      <c r="T143" s="322"/>
      <c r="U143" s="322"/>
      <c r="V143" s="322"/>
    </row>
    <row r="144" spans="2:22" x14ac:dyDescent="0.4">
      <c r="B144" s="322"/>
      <c r="C144" s="322"/>
      <c r="D144" s="472"/>
      <c r="E144" s="461"/>
      <c r="F144" s="462"/>
      <c r="G144" s="463"/>
      <c r="H144" s="461"/>
      <c r="I144" s="462"/>
      <c r="J144" s="463"/>
      <c r="K144" s="467"/>
      <c r="L144" s="461"/>
      <c r="M144" s="462"/>
      <c r="N144" s="463"/>
      <c r="O144" s="461"/>
      <c r="P144" s="462"/>
      <c r="Q144" s="463"/>
      <c r="R144" s="467"/>
      <c r="S144" s="471"/>
      <c r="T144" s="322"/>
      <c r="U144" s="322"/>
      <c r="V144" s="322"/>
    </row>
    <row r="145" spans="2:22" x14ac:dyDescent="0.4">
      <c r="B145" s="322"/>
      <c r="C145" s="322"/>
      <c r="D145" s="472"/>
      <c r="E145" s="461"/>
      <c r="F145" s="462"/>
      <c r="G145" s="463"/>
      <c r="H145" s="461"/>
      <c r="I145" s="462"/>
      <c r="J145" s="463"/>
      <c r="K145" s="467"/>
      <c r="L145" s="461"/>
      <c r="M145" s="462"/>
      <c r="N145" s="463"/>
      <c r="O145" s="461"/>
      <c r="P145" s="462"/>
      <c r="Q145" s="463"/>
      <c r="R145" s="467"/>
      <c r="S145" s="471"/>
      <c r="T145" s="322"/>
      <c r="U145" s="322"/>
      <c r="V145" s="322"/>
    </row>
    <row r="146" spans="2:22" x14ac:dyDescent="0.4">
      <c r="B146" s="322"/>
      <c r="C146" s="322"/>
      <c r="D146" s="472"/>
      <c r="E146" s="461"/>
      <c r="F146" s="462"/>
      <c r="G146" s="463"/>
      <c r="H146" s="461"/>
      <c r="I146" s="462"/>
      <c r="J146" s="463"/>
      <c r="K146" s="467"/>
      <c r="L146" s="461"/>
      <c r="M146" s="462"/>
      <c r="N146" s="463"/>
      <c r="O146" s="461"/>
      <c r="P146" s="462"/>
      <c r="Q146" s="463"/>
      <c r="R146" s="467"/>
      <c r="S146" s="471"/>
      <c r="T146" s="322"/>
      <c r="U146" s="322"/>
      <c r="V146" s="322"/>
    </row>
    <row r="147" spans="2:22" x14ac:dyDescent="0.4">
      <c r="B147" s="322"/>
      <c r="C147" s="322"/>
      <c r="D147" s="472"/>
      <c r="E147" s="461"/>
      <c r="F147" s="462"/>
      <c r="G147" s="463"/>
      <c r="H147" s="461"/>
      <c r="I147" s="462"/>
      <c r="J147" s="463"/>
      <c r="K147" s="467"/>
      <c r="L147" s="461"/>
      <c r="M147" s="462"/>
      <c r="N147" s="463"/>
      <c r="O147" s="461"/>
      <c r="P147" s="462"/>
      <c r="Q147" s="463"/>
      <c r="R147" s="467"/>
      <c r="S147" s="471"/>
      <c r="T147" s="322"/>
      <c r="U147" s="322"/>
      <c r="V147" s="322"/>
    </row>
    <row r="148" spans="2:22" x14ac:dyDescent="0.4">
      <c r="B148" s="322"/>
      <c r="C148" s="322"/>
      <c r="D148" s="472"/>
      <c r="E148" s="461"/>
      <c r="F148" s="462"/>
      <c r="G148" s="463"/>
      <c r="H148" s="461"/>
      <c r="I148" s="462"/>
      <c r="J148" s="463"/>
      <c r="K148" s="467"/>
      <c r="L148" s="461"/>
      <c r="M148" s="462"/>
      <c r="N148" s="463"/>
      <c r="O148" s="461"/>
      <c r="P148" s="462"/>
      <c r="Q148" s="463"/>
      <c r="R148" s="467"/>
      <c r="S148" s="471"/>
      <c r="T148" s="322"/>
      <c r="U148" s="322"/>
      <c r="V148" s="322"/>
    </row>
    <row r="149" spans="2:22" x14ac:dyDescent="0.4">
      <c r="B149" s="322"/>
      <c r="C149" s="322"/>
      <c r="D149" s="472"/>
      <c r="E149" s="461"/>
      <c r="F149" s="462"/>
      <c r="G149" s="463"/>
      <c r="H149" s="461"/>
      <c r="I149" s="462"/>
      <c r="J149" s="463"/>
      <c r="K149" s="467"/>
      <c r="L149" s="461"/>
      <c r="M149" s="462"/>
      <c r="N149" s="463"/>
      <c r="O149" s="461"/>
      <c r="P149" s="462"/>
      <c r="Q149" s="463"/>
      <c r="R149" s="467"/>
      <c r="S149" s="471"/>
      <c r="T149" s="322"/>
      <c r="U149" s="322"/>
      <c r="V149" s="322"/>
    </row>
    <row r="150" spans="2:22" x14ac:dyDescent="0.4">
      <c r="B150" s="322"/>
      <c r="C150" s="322"/>
      <c r="D150" s="472"/>
      <c r="E150" s="461"/>
      <c r="F150" s="462"/>
      <c r="G150" s="463"/>
      <c r="H150" s="461"/>
      <c r="I150" s="462"/>
      <c r="J150" s="463"/>
      <c r="K150" s="467"/>
      <c r="L150" s="461"/>
      <c r="M150" s="462"/>
      <c r="N150" s="463"/>
      <c r="O150" s="461"/>
      <c r="P150" s="462"/>
      <c r="Q150" s="463"/>
      <c r="R150" s="467"/>
      <c r="S150" s="471"/>
      <c r="T150" s="322"/>
      <c r="U150" s="322"/>
      <c r="V150" s="322"/>
    </row>
    <row r="151" spans="2:22" x14ac:dyDescent="0.4">
      <c r="B151" s="322"/>
      <c r="C151" s="322"/>
      <c r="D151" s="472"/>
      <c r="E151" s="461"/>
      <c r="F151" s="462"/>
      <c r="G151" s="463"/>
      <c r="H151" s="461"/>
      <c r="I151" s="462"/>
      <c r="J151" s="463"/>
      <c r="K151" s="467"/>
      <c r="L151" s="461"/>
      <c r="M151" s="462"/>
      <c r="N151" s="463"/>
      <c r="O151" s="461"/>
      <c r="P151" s="462"/>
      <c r="Q151" s="463"/>
      <c r="R151" s="467"/>
      <c r="S151" s="471"/>
      <c r="T151" s="322"/>
      <c r="U151" s="322"/>
      <c r="V151" s="322"/>
    </row>
    <row r="152" spans="2:22" x14ac:dyDescent="0.4">
      <c r="B152" s="322"/>
      <c r="C152" s="322"/>
      <c r="D152" s="472"/>
      <c r="E152" s="461"/>
      <c r="F152" s="462"/>
      <c r="G152" s="463"/>
      <c r="H152" s="461"/>
      <c r="I152" s="462"/>
      <c r="J152" s="463"/>
      <c r="K152" s="467"/>
      <c r="L152" s="461"/>
      <c r="M152" s="462"/>
      <c r="N152" s="463"/>
      <c r="O152" s="461"/>
      <c r="P152" s="462"/>
      <c r="Q152" s="463"/>
      <c r="R152" s="467"/>
      <c r="S152" s="471"/>
      <c r="T152" s="322"/>
      <c r="U152" s="322"/>
      <c r="V152" s="322"/>
    </row>
    <row r="153" spans="2:22" x14ac:dyDescent="0.4">
      <c r="B153" s="322"/>
      <c r="C153" s="322"/>
      <c r="D153" s="472"/>
      <c r="E153" s="461"/>
      <c r="F153" s="462"/>
      <c r="G153" s="463"/>
      <c r="H153" s="461"/>
      <c r="I153" s="462"/>
      <c r="J153" s="463"/>
      <c r="K153" s="467"/>
      <c r="L153" s="461"/>
      <c r="M153" s="462"/>
      <c r="N153" s="463"/>
      <c r="O153" s="461"/>
      <c r="P153" s="462"/>
      <c r="Q153" s="463"/>
      <c r="R153" s="467"/>
      <c r="S153" s="471"/>
      <c r="T153" s="322"/>
      <c r="U153" s="322"/>
      <c r="V153" s="322"/>
    </row>
    <row r="154" spans="2:22" x14ac:dyDescent="0.4">
      <c r="B154" s="322"/>
      <c r="C154" s="322"/>
      <c r="D154" s="472"/>
      <c r="E154" s="461"/>
      <c r="F154" s="462"/>
      <c r="G154" s="463"/>
      <c r="H154" s="461"/>
      <c r="I154" s="462"/>
      <c r="J154" s="463"/>
      <c r="K154" s="467"/>
      <c r="L154" s="461"/>
      <c r="M154" s="462"/>
      <c r="N154" s="463"/>
      <c r="O154" s="461"/>
      <c r="P154" s="462"/>
      <c r="Q154" s="463"/>
      <c r="R154" s="467"/>
      <c r="S154" s="471"/>
      <c r="T154" s="322"/>
      <c r="U154" s="322"/>
      <c r="V154" s="322"/>
    </row>
    <row r="155" spans="2:22" x14ac:dyDescent="0.4">
      <c r="B155" s="322"/>
      <c r="C155" s="322"/>
      <c r="D155" s="472"/>
      <c r="E155" s="461"/>
      <c r="F155" s="462"/>
      <c r="G155" s="463"/>
      <c r="H155" s="461"/>
      <c r="I155" s="462"/>
      <c r="J155" s="463"/>
      <c r="K155" s="467"/>
      <c r="L155" s="461"/>
      <c r="M155" s="462"/>
      <c r="N155" s="463"/>
      <c r="O155" s="461"/>
      <c r="P155" s="462"/>
      <c r="Q155" s="463"/>
      <c r="R155" s="467"/>
      <c r="S155" s="471"/>
      <c r="T155" s="322"/>
      <c r="U155" s="322"/>
      <c r="V155" s="322"/>
    </row>
    <row r="156" spans="2:22" x14ac:dyDescent="0.4">
      <c r="B156" s="322"/>
      <c r="C156" s="322"/>
      <c r="D156" s="472"/>
      <c r="E156" s="461"/>
      <c r="F156" s="462"/>
      <c r="G156" s="463"/>
      <c r="H156" s="461"/>
      <c r="I156" s="462"/>
      <c r="J156" s="463"/>
      <c r="K156" s="467"/>
      <c r="L156" s="461"/>
      <c r="M156" s="462"/>
      <c r="N156" s="463"/>
      <c r="O156" s="461"/>
      <c r="P156" s="462"/>
      <c r="Q156" s="463"/>
      <c r="R156" s="467"/>
      <c r="S156" s="471"/>
      <c r="T156" s="322"/>
      <c r="U156" s="322"/>
      <c r="V156" s="322"/>
    </row>
    <row r="157" spans="2:22" x14ac:dyDescent="0.4">
      <c r="B157" s="322"/>
      <c r="C157" s="322"/>
      <c r="D157" s="472"/>
      <c r="E157" s="461"/>
      <c r="F157" s="462"/>
      <c r="G157" s="463"/>
      <c r="H157" s="461"/>
      <c r="I157" s="462"/>
      <c r="J157" s="463"/>
      <c r="K157" s="467"/>
      <c r="L157" s="461"/>
      <c r="M157" s="462"/>
      <c r="N157" s="463"/>
      <c r="O157" s="461"/>
      <c r="P157" s="462"/>
      <c r="Q157" s="463"/>
      <c r="R157" s="467"/>
      <c r="S157" s="471"/>
      <c r="T157" s="322"/>
      <c r="U157" s="322"/>
      <c r="V157" s="322"/>
    </row>
    <row r="158" spans="2:22" x14ac:dyDescent="0.4">
      <c r="B158" s="322"/>
      <c r="C158" s="322"/>
      <c r="D158" s="472"/>
      <c r="E158" s="461"/>
      <c r="F158" s="462"/>
      <c r="G158" s="463"/>
      <c r="H158" s="461"/>
      <c r="I158" s="462"/>
      <c r="J158" s="463"/>
      <c r="K158" s="467"/>
      <c r="L158" s="461"/>
      <c r="M158" s="462"/>
      <c r="N158" s="463"/>
      <c r="O158" s="461"/>
      <c r="P158" s="462"/>
      <c r="Q158" s="463"/>
      <c r="R158" s="467"/>
      <c r="S158" s="471"/>
      <c r="T158" s="322"/>
      <c r="U158" s="322"/>
      <c r="V158" s="322"/>
    </row>
    <row r="159" spans="2:22" x14ac:dyDescent="0.4">
      <c r="B159" s="322"/>
      <c r="C159" s="322"/>
      <c r="D159" s="472"/>
      <c r="E159" s="461"/>
      <c r="F159" s="462"/>
      <c r="G159" s="463"/>
      <c r="H159" s="461"/>
      <c r="I159" s="462"/>
      <c r="J159" s="463"/>
      <c r="K159" s="467"/>
      <c r="L159" s="461"/>
      <c r="M159" s="462"/>
      <c r="N159" s="463"/>
      <c r="O159" s="461"/>
      <c r="P159" s="462"/>
      <c r="Q159" s="463"/>
      <c r="R159" s="467"/>
      <c r="S159" s="471"/>
      <c r="T159" s="322"/>
      <c r="U159" s="322"/>
      <c r="V159" s="322"/>
    </row>
    <row r="160" spans="2:22" x14ac:dyDescent="0.4">
      <c r="B160" s="322"/>
      <c r="C160" s="322"/>
      <c r="D160" s="472"/>
      <c r="E160" s="461"/>
      <c r="F160" s="462"/>
      <c r="G160" s="463"/>
      <c r="H160" s="461"/>
      <c r="I160" s="462"/>
      <c r="J160" s="463"/>
      <c r="K160" s="467"/>
      <c r="L160" s="461"/>
      <c r="M160" s="462"/>
      <c r="N160" s="463"/>
      <c r="O160" s="461"/>
      <c r="P160" s="462"/>
      <c r="Q160" s="463"/>
      <c r="R160" s="467"/>
      <c r="S160" s="471"/>
      <c r="T160" s="322"/>
      <c r="U160" s="322"/>
      <c r="V160" s="322"/>
    </row>
    <row r="161" spans="2:22" x14ac:dyDescent="0.4">
      <c r="B161" s="322"/>
      <c r="C161" s="322"/>
      <c r="D161" s="472"/>
      <c r="E161" s="461"/>
      <c r="F161" s="462"/>
      <c r="G161" s="463"/>
      <c r="H161" s="461"/>
      <c r="I161" s="462"/>
      <c r="J161" s="463"/>
      <c r="K161" s="467"/>
      <c r="L161" s="461"/>
      <c r="M161" s="462"/>
      <c r="N161" s="463"/>
      <c r="O161" s="461"/>
      <c r="P161" s="462"/>
      <c r="Q161" s="463"/>
      <c r="R161" s="467"/>
      <c r="S161" s="471"/>
      <c r="T161" s="322"/>
      <c r="U161" s="322"/>
      <c r="V161" s="322"/>
    </row>
    <row r="162" spans="2:22" x14ac:dyDescent="0.4">
      <c r="B162" s="322"/>
      <c r="C162" s="322"/>
      <c r="D162" s="472"/>
      <c r="E162" s="461"/>
      <c r="F162" s="462"/>
      <c r="G162" s="463"/>
      <c r="H162" s="461"/>
      <c r="I162" s="462"/>
      <c r="J162" s="463"/>
      <c r="K162" s="467"/>
      <c r="L162" s="461"/>
      <c r="M162" s="462"/>
      <c r="N162" s="463"/>
      <c r="O162" s="461"/>
      <c r="P162" s="462"/>
      <c r="Q162" s="463"/>
      <c r="R162" s="467"/>
      <c r="S162" s="471"/>
      <c r="T162" s="322"/>
      <c r="U162" s="322"/>
      <c r="V162" s="322"/>
    </row>
    <row r="163" spans="2:22" x14ac:dyDescent="0.4">
      <c r="B163" s="322"/>
      <c r="C163" s="322"/>
      <c r="D163" s="472"/>
      <c r="E163" s="461"/>
      <c r="F163" s="462"/>
      <c r="G163" s="463"/>
      <c r="H163" s="461"/>
      <c r="I163" s="462"/>
      <c r="J163" s="463"/>
      <c r="K163" s="467"/>
      <c r="L163" s="461"/>
      <c r="M163" s="462"/>
      <c r="N163" s="463"/>
      <c r="O163" s="461"/>
      <c r="P163" s="462"/>
      <c r="Q163" s="463"/>
      <c r="R163" s="467"/>
      <c r="S163" s="471"/>
      <c r="T163" s="322"/>
      <c r="U163" s="322"/>
      <c r="V163" s="322"/>
    </row>
    <row r="164" spans="2:22" x14ac:dyDescent="0.4">
      <c r="B164" s="322"/>
      <c r="C164" s="322"/>
      <c r="D164" s="472"/>
      <c r="E164" s="461"/>
      <c r="F164" s="462"/>
      <c r="G164" s="463"/>
      <c r="H164" s="461"/>
      <c r="I164" s="462"/>
      <c r="J164" s="463"/>
      <c r="K164" s="467"/>
      <c r="L164" s="461"/>
      <c r="M164" s="462"/>
      <c r="N164" s="463"/>
      <c r="O164" s="461"/>
      <c r="P164" s="462"/>
      <c r="Q164" s="463"/>
      <c r="R164" s="467"/>
      <c r="S164" s="471"/>
      <c r="T164" s="322"/>
      <c r="U164" s="322"/>
      <c r="V164" s="322"/>
    </row>
    <row r="165" spans="2:22" x14ac:dyDescent="0.4">
      <c r="B165" s="322"/>
      <c r="C165" s="322"/>
      <c r="D165" s="472"/>
      <c r="E165" s="461"/>
      <c r="F165" s="462"/>
      <c r="G165" s="463"/>
      <c r="H165" s="461"/>
      <c r="I165" s="462"/>
      <c r="J165" s="463"/>
      <c r="K165" s="467"/>
      <c r="L165" s="461"/>
      <c r="M165" s="462"/>
      <c r="N165" s="463"/>
      <c r="O165" s="461"/>
      <c r="P165" s="462"/>
      <c r="Q165" s="463"/>
      <c r="R165" s="467"/>
      <c r="S165" s="471"/>
      <c r="T165" s="322"/>
      <c r="U165" s="322"/>
      <c r="V165" s="322"/>
    </row>
    <row r="166" spans="2:22" x14ac:dyDescent="0.4">
      <c r="B166" s="322"/>
      <c r="C166" s="322"/>
      <c r="D166" s="472"/>
      <c r="E166" s="461"/>
      <c r="F166" s="462"/>
      <c r="G166" s="463"/>
      <c r="H166" s="461"/>
      <c r="I166" s="462"/>
      <c r="J166" s="463"/>
      <c r="K166" s="467"/>
      <c r="L166" s="461"/>
      <c r="M166" s="462"/>
      <c r="N166" s="463"/>
      <c r="O166" s="461"/>
      <c r="P166" s="462"/>
      <c r="Q166" s="463"/>
      <c r="R166" s="467"/>
      <c r="S166" s="471"/>
      <c r="T166" s="322"/>
      <c r="U166" s="322"/>
      <c r="V166" s="322"/>
    </row>
    <row r="167" spans="2:22" x14ac:dyDescent="0.4">
      <c r="B167" s="322"/>
      <c r="C167" s="322"/>
      <c r="D167" s="472"/>
      <c r="E167" s="461"/>
      <c r="F167" s="462"/>
      <c r="G167" s="463"/>
      <c r="H167" s="461"/>
      <c r="I167" s="462"/>
      <c r="J167" s="463"/>
      <c r="K167" s="467"/>
      <c r="L167" s="461"/>
      <c r="M167" s="462"/>
      <c r="N167" s="463"/>
      <c r="O167" s="461"/>
      <c r="P167" s="462"/>
      <c r="Q167" s="463"/>
      <c r="R167" s="467"/>
      <c r="S167" s="471"/>
      <c r="T167" s="322"/>
      <c r="U167" s="322"/>
      <c r="V167" s="322"/>
    </row>
    <row r="168" spans="2:22" x14ac:dyDescent="0.4">
      <c r="B168" s="322"/>
      <c r="C168" s="322"/>
      <c r="D168" s="472"/>
      <c r="E168" s="461"/>
      <c r="F168" s="462"/>
      <c r="G168" s="463"/>
      <c r="H168" s="461"/>
      <c r="I168" s="462"/>
      <c r="J168" s="463"/>
      <c r="K168" s="467"/>
      <c r="L168" s="461"/>
      <c r="M168" s="462"/>
      <c r="N168" s="463"/>
      <c r="O168" s="461"/>
      <c r="P168" s="462"/>
      <c r="Q168" s="463"/>
      <c r="R168" s="467"/>
      <c r="S168" s="471"/>
      <c r="T168" s="322"/>
      <c r="U168" s="322"/>
      <c r="V168" s="322"/>
    </row>
    <row r="169" spans="2:22" x14ac:dyDescent="0.4">
      <c r="B169" s="322"/>
      <c r="C169" s="322"/>
      <c r="D169" s="472"/>
      <c r="E169" s="461"/>
      <c r="F169" s="462"/>
      <c r="G169" s="463"/>
      <c r="H169" s="461"/>
      <c r="I169" s="462"/>
      <c r="J169" s="463"/>
      <c r="K169" s="467"/>
      <c r="L169" s="461"/>
      <c r="M169" s="462"/>
      <c r="N169" s="463"/>
      <c r="O169" s="461"/>
      <c r="P169" s="462"/>
      <c r="Q169" s="463"/>
      <c r="R169" s="467"/>
      <c r="S169" s="471"/>
      <c r="T169" s="322"/>
      <c r="U169" s="322"/>
      <c r="V169" s="322"/>
    </row>
    <row r="170" spans="2:22" x14ac:dyDescent="0.4">
      <c r="B170" s="322"/>
      <c r="C170" s="322"/>
      <c r="D170" s="472"/>
      <c r="E170" s="461"/>
      <c r="F170" s="462"/>
      <c r="G170" s="463"/>
      <c r="H170" s="461"/>
      <c r="I170" s="462"/>
      <c r="J170" s="463"/>
      <c r="K170" s="467"/>
      <c r="L170" s="461"/>
      <c r="M170" s="462"/>
      <c r="N170" s="463"/>
      <c r="O170" s="461"/>
      <c r="P170" s="462"/>
      <c r="Q170" s="463"/>
      <c r="R170" s="467"/>
      <c r="S170" s="471"/>
      <c r="T170" s="322"/>
      <c r="U170" s="322"/>
      <c r="V170" s="322"/>
    </row>
    <row r="171" spans="2:22" x14ac:dyDescent="0.4">
      <c r="B171" s="322"/>
      <c r="C171" s="322"/>
      <c r="D171" s="472"/>
      <c r="E171" s="461"/>
      <c r="F171" s="462"/>
      <c r="G171" s="463"/>
      <c r="H171" s="461"/>
      <c r="I171" s="462"/>
      <c r="J171" s="463"/>
      <c r="K171" s="467"/>
      <c r="L171" s="461"/>
      <c r="M171" s="462"/>
      <c r="N171" s="463"/>
      <c r="O171" s="461"/>
      <c r="P171" s="462"/>
      <c r="Q171" s="463"/>
      <c r="R171" s="467"/>
      <c r="S171" s="471"/>
      <c r="T171" s="322"/>
      <c r="U171" s="322"/>
      <c r="V171" s="322"/>
    </row>
    <row r="172" spans="2:22" x14ac:dyDescent="0.4">
      <c r="B172" s="322"/>
      <c r="C172" s="322"/>
      <c r="D172" s="472"/>
      <c r="E172" s="461"/>
      <c r="F172" s="462"/>
      <c r="G172" s="463"/>
      <c r="H172" s="461"/>
      <c r="I172" s="462"/>
      <c r="J172" s="463"/>
      <c r="K172" s="467"/>
      <c r="L172" s="461"/>
      <c r="M172" s="462"/>
      <c r="N172" s="463"/>
      <c r="O172" s="461"/>
      <c r="P172" s="462"/>
      <c r="Q172" s="463"/>
      <c r="R172" s="467"/>
      <c r="S172" s="471"/>
      <c r="T172" s="322"/>
      <c r="U172" s="322"/>
      <c r="V172" s="322"/>
    </row>
    <row r="173" spans="2:22" x14ac:dyDescent="0.4">
      <c r="B173" s="322"/>
      <c r="C173" s="322"/>
      <c r="D173" s="472"/>
      <c r="E173" s="461"/>
      <c r="F173" s="462"/>
      <c r="G173" s="463"/>
      <c r="H173" s="461"/>
      <c r="I173" s="462"/>
      <c r="J173" s="463"/>
      <c r="K173" s="467"/>
      <c r="L173" s="461"/>
      <c r="M173" s="462"/>
      <c r="N173" s="463"/>
      <c r="O173" s="461"/>
      <c r="P173" s="462"/>
      <c r="Q173" s="463"/>
      <c r="R173" s="467"/>
      <c r="S173" s="471"/>
      <c r="T173" s="322"/>
      <c r="U173" s="322"/>
      <c r="V173" s="322"/>
    </row>
    <row r="174" spans="2:22" x14ac:dyDescent="0.4">
      <c r="B174" s="322"/>
      <c r="C174" s="322"/>
      <c r="D174" s="472"/>
      <c r="E174" s="461"/>
      <c r="F174" s="462"/>
      <c r="G174" s="463"/>
      <c r="H174" s="461"/>
      <c r="I174" s="462"/>
      <c r="J174" s="463"/>
      <c r="K174" s="467"/>
      <c r="L174" s="461"/>
      <c r="M174" s="462"/>
      <c r="N174" s="463"/>
      <c r="O174" s="461"/>
      <c r="P174" s="462"/>
      <c r="Q174" s="463"/>
      <c r="R174" s="467"/>
      <c r="S174" s="471"/>
      <c r="T174" s="322"/>
      <c r="U174" s="322"/>
      <c r="V174" s="322"/>
    </row>
    <row r="175" spans="2:22" x14ac:dyDescent="0.4">
      <c r="B175" s="322"/>
      <c r="C175" s="322"/>
      <c r="D175" s="472"/>
      <c r="E175" s="461"/>
      <c r="F175" s="462"/>
      <c r="G175" s="463"/>
      <c r="H175" s="461"/>
      <c r="I175" s="462"/>
      <c r="J175" s="463"/>
      <c r="K175" s="467"/>
      <c r="L175" s="461"/>
      <c r="M175" s="462"/>
      <c r="N175" s="463"/>
      <c r="O175" s="461"/>
      <c r="P175" s="462"/>
      <c r="Q175" s="463"/>
      <c r="R175" s="467"/>
      <c r="S175" s="471"/>
      <c r="T175" s="322"/>
      <c r="U175" s="322"/>
      <c r="V175" s="322"/>
    </row>
    <row r="176" spans="2:22" x14ac:dyDescent="0.4">
      <c r="B176" s="322"/>
      <c r="C176" s="322"/>
      <c r="D176" s="472"/>
      <c r="E176" s="461"/>
      <c r="F176" s="462"/>
      <c r="G176" s="463"/>
      <c r="H176" s="461"/>
      <c r="I176" s="462"/>
      <c r="J176" s="463"/>
      <c r="K176" s="467"/>
      <c r="L176" s="461"/>
      <c r="M176" s="462"/>
      <c r="N176" s="463"/>
      <c r="O176" s="461"/>
      <c r="P176" s="462"/>
      <c r="Q176" s="463"/>
      <c r="R176" s="467"/>
      <c r="S176" s="471"/>
      <c r="T176" s="322"/>
      <c r="U176" s="322"/>
      <c r="V176" s="322"/>
    </row>
    <row r="177" spans="2:22" x14ac:dyDescent="0.4">
      <c r="B177" s="322"/>
      <c r="C177" s="322"/>
      <c r="D177" s="472"/>
      <c r="E177" s="461"/>
      <c r="F177" s="462"/>
      <c r="G177" s="463"/>
      <c r="H177" s="461"/>
      <c r="I177" s="462"/>
      <c r="J177" s="463"/>
      <c r="K177" s="467"/>
      <c r="L177" s="461"/>
      <c r="M177" s="462"/>
      <c r="N177" s="463"/>
      <c r="O177" s="461"/>
      <c r="P177" s="462"/>
      <c r="Q177" s="463"/>
      <c r="R177" s="467"/>
      <c r="S177" s="471"/>
      <c r="T177" s="322"/>
      <c r="U177" s="322"/>
      <c r="V177" s="322"/>
    </row>
    <row r="178" spans="2:22" x14ac:dyDescent="0.4">
      <c r="B178" s="322"/>
      <c r="C178" s="322"/>
      <c r="D178" s="472"/>
      <c r="E178" s="461"/>
      <c r="F178" s="462"/>
      <c r="G178" s="463"/>
      <c r="H178" s="461"/>
      <c r="I178" s="462"/>
      <c r="J178" s="463"/>
      <c r="K178" s="467"/>
      <c r="L178" s="461"/>
      <c r="M178" s="462"/>
      <c r="N178" s="463"/>
      <c r="O178" s="461"/>
      <c r="P178" s="462"/>
      <c r="Q178" s="463"/>
      <c r="R178" s="467"/>
      <c r="S178" s="471"/>
      <c r="T178" s="322"/>
      <c r="U178" s="322"/>
      <c r="V178" s="322"/>
    </row>
    <row r="179" spans="2:22" x14ac:dyDescent="0.4">
      <c r="B179" s="322"/>
      <c r="C179" s="322"/>
      <c r="D179" s="472"/>
      <c r="E179" s="461"/>
      <c r="F179" s="462"/>
      <c r="G179" s="463"/>
      <c r="H179" s="461"/>
      <c r="I179" s="462"/>
      <c r="J179" s="463"/>
      <c r="K179" s="467"/>
      <c r="L179" s="461"/>
      <c r="M179" s="462"/>
      <c r="N179" s="463"/>
      <c r="O179" s="461"/>
      <c r="P179" s="462"/>
      <c r="Q179" s="463"/>
      <c r="R179" s="467"/>
      <c r="S179" s="471"/>
      <c r="T179" s="322"/>
      <c r="U179" s="322"/>
      <c r="V179" s="322"/>
    </row>
    <row r="180" spans="2:22" x14ac:dyDescent="0.4">
      <c r="B180" s="322"/>
      <c r="C180" s="322"/>
      <c r="D180" s="472"/>
      <c r="E180" s="461"/>
      <c r="F180" s="462"/>
      <c r="G180" s="463"/>
      <c r="H180" s="461"/>
      <c r="I180" s="462"/>
      <c r="J180" s="463"/>
      <c r="K180" s="467"/>
      <c r="L180" s="461"/>
      <c r="M180" s="462"/>
      <c r="N180" s="463"/>
      <c r="O180" s="461"/>
      <c r="P180" s="462"/>
      <c r="Q180" s="463"/>
      <c r="R180" s="467"/>
      <c r="S180" s="471"/>
      <c r="T180" s="322"/>
      <c r="U180" s="322"/>
      <c r="V180" s="322"/>
    </row>
    <row r="181" spans="2:22" x14ac:dyDescent="0.4">
      <c r="B181" s="322"/>
      <c r="C181" s="322"/>
      <c r="D181" s="472"/>
      <c r="E181" s="461"/>
      <c r="F181" s="462"/>
      <c r="G181" s="463"/>
      <c r="H181" s="461"/>
      <c r="I181" s="462"/>
      <c r="J181" s="463"/>
      <c r="K181" s="467"/>
      <c r="L181" s="461"/>
      <c r="M181" s="462"/>
      <c r="N181" s="463"/>
      <c r="O181" s="461"/>
      <c r="P181" s="462"/>
      <c r="Q181" s="463"/>
      <c r="R181" s="467"/>
      <c r="S181" s="471"/>
      <c r="T181" s="322"/>
      <c r="U181" s="322"/>
      <c r="V181" s="322"/>
    </row>
    <row r="182" spans="2:22" x14ac:dyDescent="0.4">
      <c r="B182" s="322"/>
      <c r="C182" s="322"/>
      <c r="D182" s="472"/>
      <c r="E182" s="461"/>
      <c r="F182" s="462"/>
      <c r="G182" s="463"/>
      <c r="H182" s="461"/>
      <c r="I182" s="462"/>
      <c r="J182" s="463"/>
      <c r="K182" s="467"/>
      <c r="L182" s="461"/>
      <c r="M182" s="462"/>
      <c r="N182" s="463"/>
      <c r="O182" s="461"/>
      <c r="P182" s="462"/>
      <c r="Q182" s="463"/>
      <c r="R182" s="467"/>
      <c r="S182" s="471"/>
      <c r="T182" s="322"/>
      <c r="U182" s="322"/>
      <c r="V182" s="322"/>
    </row>
    <row r="183" spans="2:22" x14ac:dyDescent="0.4">
      <c r="B183" s="322"/>
      <c r="C183" s="322"/>
      <c r="D183" s="472"/>
      <c r="E183" s="461"/>
      <c r="F183" s="462"/>
      <c r="G183" s="463"/>
      <c r="H183" s="461"/>
      <c r="I183" s="462"/>
      <c r="J183" s="463"/>
      <c r="K183" s="467"/>
      <c r="L183" s="461"/>
      <c r="M183" s="462"/>
      <c r="N183" s="463"/>
      <c r="O183" s="461"/>
      <c r="P183" s="462"/>
      <c r="Q183" s="463"/>
      <c r="R183" s="467"/>
      <c r="S183" s="471"/>
      <c r="T183" s="322"/>
      <c r="U183" s="322"/>
      <c r="V183" s="322"/>
    </row>
    <row r="184" spans="2:22" x14ac:dyDescent="0.4">
      <c r="B184" s="322"/>
      <c r="C184" s="322"/>
      <c r="D184" s="472"/>
      <c r="E184" s="461"/>
      <c r="F184" s="462"/>
      <c r="G184" s="463"/>
      <c r="H184" s="461"/>
      <c r="I184" s="462"/>
      <c r="J184" s="463"/>
      <c r="K184" s="467"/>
      <c r="L184" s="461"/>
      <c r="M184" s="462"/>
      <c r="N184" s="463"/>
      <c r="O184" s="461"/>
      <c r="P184" s="462"/>
      <c r="Q184" s="463"/>
      <c r="R184" s="467"/>
      <c r="S184" s="471"/>
      <c r="T184" s="322"/>
      <c r="U184" s="322"/>
      <c r="V184" s="322"/>
    </row>
    <row r="185" spans="2:22" x14ac:dyDescent="0.4">
      <c r="B185" s="322"/>
      <c r="C185" s="322"/>
      <c r="D185" s="472"/>
      <c r="E185" s="461"/>
      <c r="F185" s="462"/>
      <c r="G185" s="463"/>
      <c r="H185" s="461"/>
      <c r="I185" s="462"/>
      <c r="J185" s="463"/>
      <c r="K185" s="467"/>
      <c r="L185" s="461"/>
      <c r="M185" s="462"/>
      <c r="N185" s="463"/>
      <c r="O185" s="461"/>
      <c r="P185" s="462"/>
      <c r="Q185" s="463"/>
      <c r="R185" s="467"/>
      <c r="S185" s="471"/>
      <c r="T185" s="322"/>
      <c r="U185" s="322"/>
      <c r="V185" s="322"/>
    </row>
    <row r="186" spans="2:22" x14ac:dyDescent="0.4">
      <c r="B186" s="322"/>
      <c r="C186" s="322"/>
      <c r="D186" s="472"/>
      <c r="E186" s="461"/>
      <c r="F186" s="462"/>
      <c r="G186" s="463"/>
      <c r="H186" s="461"/>
      <c r="I186" s="462"/>
      <c r="J186" s="463"/>
      <c r="K186" s="467"/>
      <c r="L186" s="461"/>
      <c r="M186" s="462"/>
      <c r="N186" s="463"/>
      <c r="O186" s="461"/>
      <c r="P186" s="462"/>
      <c r="Q186" s="463"/>
      <c r="R186" s="467"/>
      <c r="S186" s="471"/>
      <c r="T186" s="322"/>
      <c r="U186" s="322"/>
      <c r="V186" s="322"/>
    </row>
    <row r="187" spans="2:22" x14ac:dyDescent="0.4">
      <c r="B187" s="322"/>
      <c r="C187" s="322"/>
      <c r="D187" s="472"/>
      <c r="E187" s="461"/>
      <c r="F187" s="462"/>
      <c r="G187" s="463"/>
      <c r="H187" s="461"/>
      <c r="I187" s="462"/>
      <c r="J187" s="463"/>
      <c r="K187" s="467"/>
      <c r="L187" s="461"/>
      <c r="M187" s="462"/>
      <c r="N187" s="463"/>
      <c r="O187" s="461"/>
      <c r="P187" s="462"/>
      <c r="Q187" s="463"/>
      <c r="R187" s="467"/>
      <c r="S187" s="471"/>
      <c r="T187" s="322"/>
      <c r="U187" s="322"/>
      <c r="V187" s="322"/>
    </row>
    <row r="188" spans="2:22" x14ac:dyDescent="0.4">
      <c r="B188" s="322"/>
      <c r="C188" s="322"/>
      <c r="D188" s="472"/>
      <c r="E188" s="461"/>
      <c r="F188" s="462"/>
      <c r="G188" s="463"/>
      <c r="H188" s="461"/>
      <c r="I188" s="462"/>
      <c r="J188" s="463"/>
      <c r="K188" s="467"/>
      <c r="L188" s="461"/>
      <c r="M188" s="462"/>
      <c r="N188" s="463"/>
      <c r="O188" s="461"/>
      <c r="P188" s="462"/>
      <c r="Q188" s="463"/>
      <c r="R188" s="467"/>
      <c r="S188" s="471"/>
      <c r="T188" s="322"/>
      <c r="U188" s="322"/>
      <c r="V188" s="322"/>
    </row>
    <row r="189" spans="2:22" x14ac:dyDescent="0.4">
      <c r="B189" s="322"/>
      <c r="C189" s="322"/>
      <c r="D189" s="472"/>
      <c r="E189" s="461"/>
      <c r="F189" s="462"/>
      <c r="G189" s="463"/>
      <c r="H189" s="461"/>
      <c r="I189" s="462"/>
      <c r="J189" s="463"/>
      <c r="K189" s="467"/>
      <c r="L189" s="461"/>
      <c r="M189" s="462"/>
      <c r="N189" s="463"/>
      <c r="O189" s="461"/>
      <c r="P189" s="462"/>
      <c r="Q189" s="463"/>
      <c r="R189" s="467"/>
      <c r="S189" s="471"/>
      <c r="T189" s="322"/>
      <c r="U189" s="322"/>
      <c r="V189" s="322"/>
    </row>
    <row r="190" spans="2:22" x14ac:dyDescent="0.4">
      <c r="B190" s="322"/>
      <c r="C190" s="322"/>
      <c r="D190" s="472"/>
      <c r="E190" s="461"/>
      <c r="F190" s="462"/>
      <c r="G190" s="463"/>
      <c r="H190" s="461"/>
      <c r="I190" s="462"/>
      <c r="J190" s="463"/>
      <c r="K190" s="467"/>
      <c r="L190" s="461"/>
      <c r="M190" s="462"/>
      <c r="N190" s="463"/>
      <c r="O190" s="461"/>
      <c r="P190" s="462"/>
      <c r="Q190" s="463"/>
      <c r="R190" s="467"/>
      <c r="S190" s="471"/>
      <c r="T190" s="322"/>
      <c r="U190" s="322"/>
      <c r="V190" s="322"/>
    </row>
    <row r="191" spans="2:22" x14ac:dyDescent="0.4">
      <c r="B191" s="322"/>
      <c r="C191" s="322"/>
      <c r="D191" s="472"/>
      <c r="E191" s="461"/>
      <c r="F191" s="462"/>
      <c r="G191" s="463"/>
      <c r="H191" s="461"/>
      <c r="I191" s="462"/>
      <c r="J191" s="463"/>
      <c r="K191" s="467"/>
      <c r="L191" s="461"/>
      <c r="M191" s="462"/>
      <c r="N191" s="463"/>
      <c r="O191" s="461"/>
      <c r="P191" s="462"/>
      <c r="Q191" s="463"/>
      <c r="R191" s="467"/>
      <c r="S191" s="471"/>
      <c r="T191" s="322"/>
      <c r="U191" s="322"/>
      <c r="V191" s="322"/>
    </row>
    <row r="192" spans="2:22" x14ac:dyDescent="0.4">
      <c r="B192" s="322"/>
      <c r="C192" s="322"/>
      <c r="D192" s="472"/>
      <c r="E192" s="461"/>
      <c r="F192" s="462"/>
      <c r="G192" s="463"/>
      <c r="H192" s="461"/>
      <c r="I192" s="462"/>
      <c r="J192" s="463"/>
      <c r="K192" s="467"/>
      <c r="L192" s="461"/>
      <c r="M192" s="462"/>
      <c r="N192" s="463"/>
      <c r="O192" s="461"/>
      <c r="P192" s="462"/>
      <c r="Q192" s="463"/>
      <c r="R192" s="467"/>
      <c r="S192" s="471"/>
      <c r="T192" s="322"/>
      <c r="U192" s="322"/>
      <c r="V192" s="322"/>
    </row>
    <row r="193" spans="2:22" x14ac:dyDescent="0.4">
      <c r="B193" s="322"/>
      <c r="C193" s="322"/>
      <c r="D193" s="472"/>
      <c r="E193" s="461"/>
      <c r="F193" s="462"/>
      <c r="G193" s="463"/>
      <c r="H193" s="461"/>
      <c r="I193" s="462"/>
      <c r="J193" s="463"/>
      <c r="K193" s="467"/>
      <c r="L193" s="461"/>
      <c r="M193" s="462"/>
      <c r="N193" s="463"/>
      <c r="O193" s="461"/>
      <c r="P193" s="462"/>
      <c r="Q193" s="463"/>
      <c r="R193" s="467"/>
      <c r="S193" s="471"/>
      <c r="T193" s="322"/>
      <c r="U193" s="322"/>
      <c r="V193" s="322"/>
    </row>
    <row r="194" spans="2:22" x14ac:dyDescent="0.4">
      <c r="B194" s="322"/>
      <c r="C194" s="322"/>
      <c r="D194" s="472"/>
      <c r="E194" s="461"/>
      <c r="F194" s="462"/>
      <c r="G194" s="463"/>
      <c r="H194" s="461"/>
      <c r="I194" s="462"/>
      <c r="J194" s="463"/>
      <c r="K194" s="467"/>
      <c r="L194" s="461"/>
      <c r="M194" s="462"/>
      <c r="N194" s="463"/>
      <c r="O194" s="461"/>
      <c r="P194" s="462"/>
      <c r="Q194" s="463"/>
      <c r="R194" s="467"/>
      <c r="S194" s="471"/>
      <c r="T194" s="322"/>
      <c r="U194" s="322"/>
      <c r="V194" s="322"/>
    </row>
    <row r="195" spans="2:22" x14ac:dyDescent="0.4">
      <c r="B195" s="322"/>
      <c r="C195" s="322"/>
      <c r="D195" s="472"/>
      <c r="E195" s="461"/>
      <c r="F195" s="462"/>
      <c r="G195" s="463"/>
      <c r="H195" s="461"/>
      <c r="I195" s="462"/>
      <c r="J195" s="463"/>
      <c r="K195" s="467"/>
      <c r="L195" s="461"/>
      <c r="M195" s="462"/>
      <c r="N195" s="463"/>
      <c r="O195" s="461"/>
      <c r="P195" s="462"/>
      <c r="Q195" s="463"/>
      <c r="R195" s="467"/>
      <c r="S195" s="471"/>
      <c r="T195" s="322"/>
      <c r="U195" s="322"/>
      <c r="V195" s="322"/>
    </row>
    <row r="196" spans="2:22" x14ac:dyDescent="0.4">
      <c r="B196" s="322"/>
      <c r="C196" s="322"/>
      <c r="D196" s="472"/>
      <c r="E196" s="461"/>
      <c r="F196" s="462"/>
      <c r="G196" s="463"/>
      <c r="H196" s="461"/>
      <c r="I196" s="462"/>
      <c r="J196" s="463"/>
      <c r="K196" s="467"/>
      <c r="L196" s="461"/>
      <c r="M196" s="462"/>
      <c r="N196" s="463"/>
      <c r="O196" s="461"/>
      <c r="P196" s="462"/>
      <c r="Q196" s="463"/>
      <c r="R196" s="467"/>
      <c r="S196" s="471"/>
      <c r="T196" s="322"/>
      <c r="U196" s="322"/>
      <c r="V196" s="322"/>
    </row>
    <row r="197" spans="2:22" x14ac:dyDescent="0.4">
      <c r="B197" s="322"/>
      <c r="C197" s="322"/>
      <c r="D197" s="472"/>
      <c r="E197" s="461"/>
      <c r="F197" s="462"/>
      <c r="G197" s="463"/>
      <c r="H197" s="461"/>
      <c r="I197" s="462"/>
      <c r="J197" s="463"/>
      <c r="K197" s="467"/>
      <c r="L197" s="461"/>
      <c r="M197" s="462"/>
      <c r="N197" s="463"/>
      <c r="O197" s="461"/>
      <c r="P197" s="462"/>
      <c r="Q197" s="463"/>
      <c r="R197" s="467"/>
      <c r="S197" s="471"/>
      <c r="T197" s="322"/>
      <c r="U197" s="322"/>
      <c r="V197" s="322"/>
    </row>
    <row r="198" spans="2:22" x14ac:dyDescent="0.4">
      <c r="B198" s="322"/>
      <c r="C198" s="322"/>
      <c r="D198" s="472"/>
      <c r="E198" s="461"/>
      <c r="F198" s="462"/>
      <c r="G198" s="463"/>
      <c r="H198" s="461"/>
      <c r="I198" s="462"/>
      <c r="J198" s="463"/>
      <c r="K198" s="467"/>
      <c r="L198" s="461"/>
      <c r="M198" s="462"/>
      <c r="N198" s="463"/>
      <c r="O198" s="461"/>
      <c r="P198" s="462"/>
      <c r="Q198" s="463"/>
      <c r="R198" s="467"/>
      <c r="S198" s="471"/>
      <c r="T198" s="322"/>
      <c r="U198" s="322"/>
      <c r="V198" s="322"/>
    </row>
    <row r="199" spans="2:22" x14ac:dyDescent="0.4">
      <c r="B199" s="322"/>
      <c r="C199" s="322"/>
      <c r="D199" s="472"/>
      <c r="E199" s="461"/>
      <c r="F199" s="462"/>
      <c r="G199" s="463"/>
      <c r="H199" s="461"/>
      <c r="I199" s="462"/>
      <c r="J199" s="463"/>
      <c r="K199" s="467"/>
      <c r="L199" s="461"/>
      <c r="M199" s="462"/>
      <c r="N199" s="463"/>
      <c r="O199" s="461"/>
      <c r="P199" s="462"/>
      <c r="Q199" s="463"/>
      <c r="R199" s="467"/>
      <c r="S199" s="471"/>
      <c r="T199" s="322"/>
      <c r="U199" s="322"/>
      <c r="V199" s="322"/>
    </row>
    <row r="200" spans="2:22" x14ac:dyDescent="0.4">
      <c r="B200" s="322"/>
      <c r="C200" s="322"/>
      <c r="D200" s="472"/>
      <c r="E200" s="461"/>
      <c r="F200" s="462"/>
      <c r="G200" s="463"/>
      <c r="H200" s="461"/>
      <c r="I200" s="462"/>
      <c r="J200" s="463"/>
      <c r="K200" s="467"/>
      <c r="L200" s="461"/>
      <c r="M200" s="462"/>
      <c r="N200" s="463"/>
      <c r="O200" s="461"/>
      <c r="P200" s="462"/>
      <c r="Q200" s="463"/>
      <c r="R200" s="467"/>
      <c r="S200" s="471"/>
      <c r="T200" s="322"/>
      <c r="U200" s="322"/>
      <c r="V200" s="322"/>
    </row>
    <row r="201" spans="2:22" x14ac:dyDescent="0.4">
      <c r="B201" s="322"/>
      <c r="C201" s="322"/>
      <c r="D201" s="472"/>
      <c r="E201" s="461"/>
      <c r="F201" s="462"/>
      <c r="G201" s="463"/>
      <c r="H201" s="461"/>
      <c r="I201" s="462"/>
      <c r="J201" s="463"/>
      <c r="K201" s="467"/>
      <c r="L201" s="461"/>
      <c r="M201" s="462"/>
      <c r="N201" s="463"/>
      <c r="O201" s="461"/>
      <c r="P201" s="462"/>
      <c r="Q201" s="463"/>
      <c r="R201" s="467"/>
      <c r="S201" s="471"/>
      <c r="T201" s="322"/>
      <c r="U201" s="322"/>
      <c r="V201" s="322"/>
    </row>
    <row r="202" spans="2:22" x14ac:dyDescent="0.4">
      <c r="B202" s="322"/>
      <c r="C202" s="322"/>
      <c r="D202" s="472"/>
      <c r="E202" s="461"/>
      <c r="F202" s="462"/>
      <c r="G202" s="463"/>
      <c r="H202" s="461"/>
      <c r="I202" s="462"/>
      <c r="J202" s="463"/>
      <c r="K202" s="467"/>
      <c r="L202" s="461"/>
      <c r="M202" s="462"/>
      <c r="N202" s="463"/>
      <c r="O202" s="461"/>
      <c r="P202" s="462"/>
      <c r="Q202" s="463"/>
      <c r="R202" s="467"/>
      <c r="S202" s="471"/>
      <c r="T202" s="322"/>
      <c r="U202" s="322"/>
      <c r="V202" s="322"/>
    </row>
    <row r="203" spans="2:22" x14ac:dyDescent="0.4">
      <c r="B203" s="322"/>
      <c r="C203" s="322"/>
      <c r="D203" s="472"/>
      <c r="E203" s="461"/>
      <c r="F203" s="462"/>
      <c r="G203" s="463"/>
      <c r="H203" s="461"/>
      <c r="I203" s="462"/>
      <c r="J203" s="463"/>
      <c r="K203" s="467"/>
      <c r="L203" s="461"/>
      <c r="M203" s="462"/>
      <c r="N203" s="463"/>
      <c r="O203" s="461"/>
      <c r="P203" s="462"/>
      <c r="Q203" s="463"/>
      <c r="R203" s="467"/>
      <c r="S203" s="471"/>
      <c r="T203" s="322"/>
      <c r="U203" s="322"/>
      <c r="V203" s="322"/>
    </row>
    <row r="204" spans="2:22" x14ac:dyDescent="0.4">
      <c r="B204" s="322"/>
      <c r="C204" s="322"/>
      <c r="D204" s="472"/>
      <c r="E204" s="461"/>
      <c r="F204" s="462"/>
      <c r="G204" s="463"/>
      <c r="H204" s="461"/>
      <c r="I204" s="462"/>
      <c r="J204" s="463"/>
      <c r="K204" s="467"/>
      <c r="L204" s="461"/>
      <c r="M204" s="462"/>
      <c r="N204" s="463"/>
      <c r="O204" s="461"/>
      <c r="P204" s="462"/>
      <c r="Q204" s="463"/>
      <c r="R204" s="467"/>
      <c r="S204" s="471"/>
      <c r="T204" s="322"/>
      <c r="U204" s="322"/>
      <c r="V204" s="322"/>
    </row>
    <row r="205" spans="2:22" x14ac:dyDescent="0.4">
      <c r="B205" s="322"/>
      <c r="C205" s="322"/>
      <c r="D205" s="472"/>
      <c r="E205" s="461"/>
      <c r="F205" s="462"/>
      <c r="G205" s="463"/>
      <c r="H205" s="461"/>
      <c r="I205" s="462"/>
      <c r="J205" s="463"/>
      <c r="K205" s="467"/>
      <c r="L205" s="461"/>
      <c r="M205" s="462"/>
      <c r="N205" s="463"/>
      <c r="O205" s="461"/>
      <c r="P205" s="462"/>
      <c r="Q205" s="463"/>
      <c r="R205" s="467"/>
      <c r="S205" s="471"/>
      <c r="T205" s="322"/>
      <c r="U205" s="322"/>
      <c r="V205" s="322"/>
    </row>
    <row r="206" spans="2:22" x14ac:dyDescent="0.4">
      <c r="B206" s="322"/>
      <c r="C206" s="322"/>
      <c r="D206" s="472"/>
      <c r="E206" s="461"/>
      <c r="F206" s="462"/>
      <c r="G206" s="463"/>
      <c r="H206" s="461"/>
      <c r="I206" s="462"/>
      <c r="J206" s="463"/>
      <c r="K206" s="467"/>
      <c r="L206" s="461"/>
      <c r="M206" s="462"/>
      <c r="N206" s="463"/>
      <c r="O206" s="461"/>
      <c r="P206" s="462"/>
      <c r="Q206" s="463"/>
      <c r="R206" s="467"/>
      <c r="S206" s="471"/>
      <c r="T206" s="322"/>
      <c r="U206" s="322"/>
      <c r="V206" s="322"/>
    </row>
    <row r="207" spans="2:22" x14ac:dyDescent="0.4">
      <c r="B207" s="322"/>
      <c r="C207" s="322"/>
      <c r="D207" s="472"/>
      <c r="E207" s="461"/>
      <c r="F207" s="462"/>
      <c r="G207" s="463"/>
      <c r="H207" s="461"/>
      <c r="I207" s="462"/>
      <c r="J207" s="463"/>
      <c r="K207" s="467"/>
      <c r="L207" s="461"/>
      <c r="M207" s="462"/>
      <c r="N207" s="463"/>
      <c r="O207" s="461"/>
      <c r="P207" s="462"/>
      <c r="Q207" s="463"/>
      <c r="R207" s="467"/>
      <c r="S207" s="471"/>
      <c r="T207" s="322"/>
      <c r="U207" s="322"/>
      <c r="V207" s="322"/>
    </row>
    <row r="208" spans="2:22" x14ac:dyDescent="0.4">
      <c r="B208" s="322"/>
      <c r="C208" s="322"/>
      <c r="D208" s="472"/>
      <c r="E208" s="461"/>
      <c r="F208" s="462"/>
      <c r="G208" s="463"/>
      <c r="H208" s="461"/>
      <c r="I208" s="462"/>
      <c r="J208" s="463"/>
      <c r="K208" s="467"/>
      <c r="L208" s="461"/>
      <c r="M208" s="462"/>
      <c r="N208" s="463"/>
      <c r="O208" s="461"/>
      <c r="P208" s="462"/>
      <c r="Q208" s="463"/>
      <c r="R208" s="467"/>
      <c r="S208" s="471"/>
      <c r="T208" s="322"/>
      <c r="U208" s="322"/>
      <c r="V208" s="322"/>
    </row>
    <row r="209" spans="2:22" x14ac:dyDescent="0.4">
      <c r="B209" s="322"/>
      <c r="C209" s="322"/>
      <c r="D209" s="472"/>
      <c r="E209" s="461"/>
      <c r="F209" s="462"/>
      <c r="G209" s="463"/>
      <c r="H209" s="461"/>
      <c r="I209" s="462"/>
      <c r="J209" s="463"/>
      <c r="K209" s="467"/>
      <c r="L209" s="461"/>
      <c r="M209" s="462"/>
      <c r="N209" s="463"/>
      <c r="O209" s="461"/>
      <c r="P209" s="462"/>
      <c r="Q209" s="463"/>
      <c r="R209" s="467"/>
      <c r="S209" s="471"/>
      <c r="T209" s="322"/>
      <c r="U209" s="322"/>
      <c r="V209" s="322"/>
    </row>
    <row r="210" spans="2:22" x14ac:dyDescent="0.4">
      <c r="B210" s="322"/>
      <c r="C210" s="322"/>
      <c r="D210" s="472"/>
      <c r="E210" s="461"/>
      <c r="F210" s="462"/>
      <c r="G210" s="463"/>
      <c r="H210" s="461"/>
      <c r="I210" s="462"/>
      <c r="J210" s="463"/>
      <c r="K210" s="467"/>
      <c r="L210" s="461"/>
      <c r="M210" s="462"/>
      <c r="N210" s="463"/>
      <c r="O210" s="461"/>
      <c r="P210" s="462"/>
      <c r="Q210" s="463"/>
      <c r="R210" s="467"/>
      <c r="S210" s="471"/>
      <c r="T210" s="322"/>
      <c r="U210" s="322"/>
      <c r="V210" s="322"/>
    </row>
    <row r="211" spans="2:22" x14ac:dyDescent="0.4">
      <c r="B211" s="322"/>
      <c r="C211" s="322"/>
      <c r="D211" s="472"/>
      <c r="E211" s="461"/>
      <c r="F211" s="462"/>
      <c r="G211" s="463"/>
      <c r="H211" s="461"/>
      <c r="I211" s="462"/>
      <c r="J211" s="463"/>
      <c r="K211" s="467"/>
      <c r="L211" s="461"/>
      <c r="M211" s="462"/>
      <c r="N211" s="463"/>
      <c r="O211" s="461"/>
      <c r="P211" s="462"/>
      <c r="Q211" s="463"/>
      <c r="R211" s="467"/>
      <c r="S211" s="471"/>
      <c r="T211" s="322"/>
      <c r="U211" s="322"/>
      <c r="V211" s="322"/>
    </row>
    <row r="212" spans="2:22" x14ac:dyDescent="0.4">
      <c r="B212" s="322"/>
      <c r="C212" s="322"/>
      <c r="D212" s="472"/>
      <c r="E212" s="461"/>
      <c r="F212" s="462"/>
      <c r="G212" s="463"/>
      <c r="H212" s="461"/>
      <c r="I212" s="462"/>
      <c r="J212" s="463"/>
      <c r="K212" s="467"/>
      <c r="L212" s="461"/>
      <c r="M212" s="462"/>
      <c r="N212" s="463"/>
      <c r="O212" s="461"/>
      <c r="P212" s="462"/>
      <c r="Q212" s="463"/>
      <c r="R212" s="467"/>
      <c r="S212" s="471"/>
      <c r="T212" s="322"/>
      <c r="U212" s="322"/>
      <c r="V212" s="322"/>
    </row>
    <row r="213" spans="2:22" x14ac:dyDescent="0.4">
      <c r="B213" s="322"/>
      <c r="C213" s="322"/>
      <c r="D213" s="472"/>
      <c r="E213" s="461"/>
      <c r="F213" s="462"/>
      <c r="G213" s="463"/>
      <c r="H213" s="461"/>
      <c r="I213" s="462"/>
      <c r="J213" s="463"/>
      <c r="K213" s="467"/>
      <c r="L213" s="461"/>
      <c r="M213" s="462"/>
      <c r="N213" s="463"/>
      <c r="O213" s="461"/>
      <c r="P213" s="462"/>
      <c r="Q213" s="463"/>
      <c r="R213" s="467"/>
      <c r="S213" s="471"/>
      <c r="T213" s="322"/>
      <c r="U213" s="322"/>
      <c r="V213" s="322"/>
    </row>
    <row r="214" spans="2:22" x14ac:dyDescent="0.4">
      <c r="B214" s="322"/>
      <c r="C214" s="322"/>
      <c r="D214" s="472"/>
      <c r="E214" s="461"/>
      <c r="F214" s="462"/>
      <c r="G214" s="463"/>
      <c r="H214" s="461"/>
      <c r="I214" s="462"/>
      <c r="J214" s="463"/>
      <c r="K214" s="467"/>
      <c r="L214" s="461"/>
      <c r="M214" s="462"/>
      <c r="N214" s="463"/>
      <c r="O214" s="461"/>
      <c r="P214" s="462"/>
      <c r="Q214" s="463"/>
      <c r="R214" s="467"/>
      <c r="S214" s="471"/>
      <c r="T214" s="322"/>
      <c r="U214" s="322"/>
      <c r="V214" s="322"/>
    </row>
    <row r="215" spans="2:22" x14ac:dyDescent="0.4">
      <c r="B215" s="322"/>
      <c r="C215" s="322"/>
      <c r="D215" s="472"/>
      <c r="E215" s="461"/>
      <c r="F215" s="462"/>
      <c r="G215" s="463"/>
      <c r="H215" s="461"/>
      <c r="I215" s="462"/>
      <c r="J215" s="463"/>
      <c r="K215" s="467"/>
      <c r="L215" s="461"/>
      <c r="M215" s="462"/>
      <c r="N215" s="463"/>
      <c r="O215" s="461"/>
      <c r="P215" s="462"/>
      <c r="Q215" s="463"/>
      <c r="R215" s="467"/>
      <c r="S215" s="471"/>
      <c r="T215" s="322"/>
      <c r="U215" s="322"/>
      <c r="V215" s="322"/>
    </row>
    <row r="216" spans="2:22" x14ac:dyDescent="0.4">
      <c r="B216" s="322"/>
      <c r="C216" s="322"/>
      <c r="D216" s="472"/>
      <c r="E216" s="461"/>
      <c r="F216" s="462"/>
      <c r="G216" s="463"/>
      <c r="H216" s="461"/>
      <c r="I216" s="462"/>
      <c r="J216" s="463"/>
      <c r="K216" s="467"/>
      <c r="L216" s="461"/>
      <c r="M216" s="462"/>
      <c r="N216" s="463"/>
      <c r="O216" s="461"/>
      <c r="P216" s="462"/>
      <c r="Q216" s="463"/>
      <c r="R216" s="467"/>
      <c r="S216" s="471"/>
      <c r="T216" s="322"/>
      <c r="U216" s="322"/>
      <c r="V216" s="322"/>
    </row>
    <row r="217" spans="2:22" x14ac:dyDescent="0.4">
      <c r="B217" s="322"/>
      <c r="C217" s="322"/>
      <c r="D217" s="472"/>
      <c r="E217" s="461"/>
      <c r="F217" s="462"/>
      <c r="G217" s="463"/>
      <c r="H217" s="461"/>
      <c r="I217" s="462"/>
      <c r="J217" s="463"/>
      <c r="K217" s="467"/>
      <c r="L217" s="461"/>
      <c r="M217" s="462"/>
      <c r="N217" s="463"/>
      <c r="O217" s="461"/>
      <c r="P217" s="462"/>
      <c r="Q217" s="463"/>
      <c r="R217" s="467"/>
      <c r="S217" s="471"/>
      <c r="T217" s="322"/>
      <c r="U217" s="322"/>
      <c r="V217" s="322"/>
    </row>
    <row r="218" spans="2:22" x14ac:dyDescent="0.4">
      <c r="B218" s="322"/>
      <c r="C218" s="322"/>
      <c r="D218" s="472"/>
      <c r="E218" s="461"/>
      <c r="F218" s="462"/>
      <c r="G218" s="463"/>
      <c r="H218" s="461"/>
      <c r="I218" s="462"/>
      <c r="J218" s="463"/>
      <c r="K218" s="467"/>
      <c r="L218" s="461"/>
      <c r="M218" s="462"/>
      <c r="N218" s="463"/>
      <c r="O218" s="461"/>
      <c r="P218" s="462"/>
      <c r="Q218" s="463"/>
      <c r="R218" s="467"/>
      <c r="S218" s="471"/>
      <c r="T218" s="322"/>
      <c r="U218" s="322"/>
      <c r="V218" s="322"/>
    </row>
    <row r="219" spans="2:22" x14ac:dyDescent="0.4">
      <c r="B219" s="322"/>
      <c r="C219" s="322"/>
      <c r="D219" s="472"/>
      <c r="E219" s="461"/>
      <c r="F219" s="462"/>
      <c r="G219" s="463"/>
      <c r="H219" s="461"/>
      <c r="I219" s="462"/>
      <c r="J219" s="463"/>
      <c r="K219" s="467"/>
      <c r="L219" s="461"/>
      <c r="M219" s="462"/>
      <c r="N219" s="463"/>
      <c r="O219" s="461"/>
      <c r="P219" s="462"/>
      <c r="Q219" s="463"/>
      <c r="R219" s="467"/>
      <c r="S219" s="471"/>
      <c r="T219" s="322"/>
      <c r="U219" s="322"/>
      <c r="V219" s="322"/>
    </row>
    <row r="220" spans="2:22" x14ac:dyDescent="0.4">
      <c r="B220" s="322"/>
      <c r="C220" s="322"/>
      <c r="D220" s="472"/>
      <c r="E220" s="461"/>
      <c r="F220" s="462"/>
      <c r="G220" s="463"/>
      <c r="H220" s="461"/>
      <c r="I220" s="462"/>
      <c r="J220" s="463"/>
      <c r="K220" s="467"/>
      <c r="L220" s="461"/>
      <c r="M220" s="462"/>
      <c r="N220" s="463"/>
      <c r="O220" s="461"/>
      <c r="P220" s="462"/>
      <c r="Q220" s="463"/>
      <c r="R220" s="467"/>
      <c r="S220" s="471"/>
      <c r="T220" s="322"/>
      <c r="U220" s="322"/>
      <c r="V220" s="322"/>
    </row>
  </sheetData>
  <autoFilter ref="D1:D220" xr:uid="{00000000-0009-0000-0000-000009000000}"/>
  <mergeCells count="2">
    <mergeCell ref="S1:S2"/>
    <mergeCell ref="T24:T26"/>
  </mergeCells>
  <pageMargins left="0.7" right="0.7" top="0.75" bottom="0.75" header="0.3" footer="0.3"/>
  <pageSetup orientation="portrait"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42">
    <tabColor theme="8" tint="-0.249977111117893"/>
  </sheetPr>
  <dimension ref="A1:R85"/>
  <sheetViews>
    <sheetView zoomScale="90" zoomScaleNormal="90" workbookViewId="0">
      <pane ySplit="4" topLeftCell="A5" activePane="bottomLeft" state="frozen"/>
      <selection activeCell="R23" sqref="R23:X23"/>
      <selection pane="bottomLeft" activeCell="B90" sqref="B90"/>
    </sheetView>
  </sheetViews>
  <sheetFormatPr defaultColWidth="8.84375" defaultRowHeight="14.6" x14ac:dyDescent="0.4"/>
  <cols>
    <col min="1" max="1" width="4.3046875" customWidth="1"/>
    <col min="2" max="2" width="37.4609375" customWidth="1"/>
    <col min="3" max="3" width="12.4609375" customWidth="1"/>
    <col min="4" max="6" width="12.69140625" customWidth="1"/>
    <col min="8" max="8" width="10" customWidth="1"/>
  </cols>
  <sheetData>
    <row r="1" spans="1:18" s="142" customFormat="1" x14ac:dyDescent="0.4">
      <c r="A1" s="141" t="s">
        <v>121</v>
      </c>
      <c r="B1" s="141"/>
      <c r="C1" s="141"/>
      <c r="D1" s="141"/>
      <c r="E1" s="141"/>
      <c r="F1" s="141"/>
      <c r="G1" s="141"/>
      <c r="H1" s="141"/>
      <c r="I1" s="141"/>
      <c r="J1" s="141"/>
      <c r="K1" s="141"/>
      <c r="L1" s="141"/>
      <c r="M1" s="141"/>
      <c r="N1" s="141"/>
      <c r="O1" s="141"/>
      <c r="P1" s="141"/>
      <c r="Q1" s="141"/>
      <c r="R1" s="141"/>
    </row>
    <row r="2" spans="1:18" s="146" customFormat="1" x14ac:dyDescent="0.4">
      <c r="A2" s="143">
        <f>IF(subnational="Y",subnational_name&amp;", "&amp;selected_country,selected_country)</f>
        <v>0</v>
      </c>
      <c r="B2" s="144"/>
    </row>
    <row r="3" spans="1:18" ht="15" thickBot="1" x14ac:dyDescent="0.45"/>
    <row r="4" spans="1:18" ht="15" thickBot="1" x14ac:dyDescent="0.45">
      <c r="B4" s="209"/>
      <c r="C4" s="5">
        <f>baseline_year</f>
        <v>0</v>
      </c>
      <c r="D4" s="6">
        <f>baseline_year+1</f>
        <v>1</v>
      </c>
      <c r="E4" s="6">
        <f t="shared" ref="E4:F4" si="0">D4+1</f>
        <v>2</v>
      </c>
      <c r="F4" s="6">
        <f t="shared" si="0"/>
        <v>3</v>
      </c>
    </row>
    <row r="5" spans="1:18" x14ac:dyDescent="0.4">
      <c r="B5" s="138"/>
      <c r="C5" s="8"/>
      <c r="D5" s="9"/>
      <c r="E5" s="9"/>
      <c r="F5" s="9"/>
    </row>
    <row r="7" spans="1:18" ht="15" thickBot="1" x14ac:dyDescent="0.45">
      <c r="B7" s="2" t="s">
        <v>122</v>
      </c>
      <c r="F7" s="208"/>
      <c r="G7" s="208"/>
      <c r="H7" s="208"/>
      <c r="I7" s="208"/>
    </row>
    <row r="8" spans="1:18" x14ac:dyDescent="0.4">
      <c r="B8" s="164">
        <f>_chw1</f>
        <v>0</v>
      </c>
      <c r="C8" s="210">
        <f>(SUMIF(CHW_Time!$D$6:$D$105,$B8,CHW_Time!I$6:I$105))/60</f>
        <v>0</v>
      </c>
      <c r="D8" s="210">
        <f>(SUMIF(CHW_Time!$D$6:$D$105,$B8,CHW_Time!J$6:J$105))/60</f>
        <v>0</v>
      </c>
      <c r="E8" s="210">
        <f>(SUMIF(CHW_Time!$E$6:$E$105,$B8,CHW_Time!K$6:K$105))/60</f>
        <v>0</v>
      </c>
      <c r="F8" s="210">
        <f>(SUMIF(CHW_Time!$E$6:$E$105,$B8,CHW_Time!L$6:L$105))/60</f>
        <v>0</v>
      </c>
    </row>
    <row r="9" spans="1:18" x14ac:dyDescent="0.4">
      <c r="B9" s="161">
        <f>_chw2</f>
        <v>0</v>
      </c>
      <c r="C9" s="139">
        <f>(SUMIF(CHW_Time!$D$6:$D$105,$B9,CHW_Time!I$6:I$105))/60</f>
        <v>0</v>
      </c>
      <c r="D9" s="139">
        <f>(SUMIF(CHW_Time!$D$6:$D$105,$B9,CHW_Time!J$6:J$105))/60</f>
        <v>0</v>
      </c>
      <c r="E9" s="139">
        <f>(SUMIF(CHW_Time!$E$6:$E$105,$B9,CHW_Time!K$6:K$105))/60</f>
        <v>0</v>
      </c>
      <c r="F9" s="139">
        <f>(SUMIF(CHW_Time!$E$6:$E$105,$B9,CHW_Time!L$6:L$105))/60</f>
        <v>0</v>
      </c>
    </row>
    <row r="10" spans="1:18" x14ac:dyDescent="0.4">
      <c r="B10" s="161">
        <f>_chw3</f>
        <v>0</v>
      </c>
      <c r="C10" s="139">
        <f>(SUMIF(CHW_Time!$D$6:$D$105,$B10,CHW_Time!I$6:I$105))/60</f>
        <v>0</v>
      </c>
      <c r="D10" s="139">
        <f>(SUMIF(CHW_Time!$D$6:$D$105,$B10,CHW_Time!J$6:J$105))/60</f>
        <v>0</v>
      </c>
      <c r="E10" s="139">
        <f>(SUMIF(CHW_Time!$E$6:$E$105,$B10,CHW_Time!K$6:K$105))/60</f>
        <v>0</v>
      </c>
      <c r="F10" s="139">
        <f>(SUMIF(CHW_Time!$E$6:$E$105,$B10,CHW_Time!L$6:L$105))/60</f>
        <v>0</v>
      </c>
    </row>
    <row r="11" spans="1:18" x14ac:dyDescent="0.4">
      <c r="B11" s="161">
        <f>_chw4</f>
        <v>0</v>
      </c>
      <c r="C11" s="139">
        <f>(SUMIF(CHW_Time!$D$6:$D$105,$B11,CHW_Time!I$6:I$105))/60</f>
        <v>0</v>
      </c>
      <c r="D11" s="139">
        <f>(SUMIF(CHW_Time!$D$6:$D$105,$B11,CHW_Time!J$6:J$105))/60</f>
        <v>0</v>
      </c>
      <c r="E11" s="139">
        <f>(SUMIF(CHW_Time!$E$6:$E$105,$B11,CHW_Time!K$6:K$105))/60</f>
        <v>0</v>
      </c>
      <c r="F11" s="139">
        <f>(SUMIF(CHW_Time!$E$6:$E$105,$B11,CHW_Time!L$6:L$105))/60</f>
        <v>0</v>
      </c>
    </row>
    <row r="12" spans="1:18" x14ac:dyDescent="0.4">
      <c r="B12" s="161">
        <f>_chw5</f>
        <v>0</v>
      </c>
      <c r="C12" s="139">
        <f>(SUMIF(CHW_Time!$D$6:$D$105,$B12,CHW_Time!I$6:I$105))/60</f>
        <v>0</v>
      </c>
      <c r="D12" s="139">
        <f>(SUMIF(CHW_Time!$D$6:$D$105,$B12,CHW_Time!J$6:J$105))/60</f>
        <v>0</v>
      </c>
      <c r="E12" s="139">
        <f>(SUMIF(CHW_Time!$E$6:$E$105,$B12,CHW_Time!K$6:K$105))/60</f>
        <v>0</v>
      </c>
      <c r="F12" s="139">
        <f>(SUMIF(CHW_Time!$E$6:$E$105,$B12,CHW_Time!L$6:L$105))/60</f>
        <v>0</v>
      </c>
    </row>
    <row r="13" spans="1:18" x14ac:dyDescent="0.4">
      <c r="B13" s="161">
        <f>_chw6</f>
        <v>0</v>
      </c>
      <c r="C13" s="139">
        <f>(SUMIF(CHW_Time!$D$6:$D$105,$B13,CHW_Time!I$6:I$105))/60</f>
        <v>0</v>
      </c>
      <c r="D13" s="139">
        <f>(SUMIF(CHW_Time!$D$6:$D$105,$B13,CHW_Time!J$6:J$105))/60</f>
        <v>0</v>
      </c>
      <c r="E13" s="139">
        <f>(SUMIF(CHW_Time!$E$6:$E$105,$B13,CHW_Time!K$6:K$105))/60</f>
        <v>0</v>
      </c>
      <c r="F13" s="139">
        <f>(SUMIF(CHW_Time!$E$6:$E$105,$B13,CHW_Time!L$6:L$105))/60</f>
        <v>0</v>
      </c>
    </row>
    <row r="14" spans="1:18" ht="15" thickBot="1" x14ac:dyDescent="0.45">
      <c r="B14" s="161" t="s">
        <v>113</v>
      </c>
      <c r="C14" s="139">
        <f>(SUMIF(CHW_Time!$D$6:$D$105,$B14,CHW_Time!I$6:I$105))/60</f>
        <v>0</v>
      </c>
      <c r="D14" s="139">
        <f>(SUMIF(CHW_Time!$D$6:$D$105,$B14,CHW_Time!J$6:J$105))/60</f>
        <v>0</v>
      </c>
      <c r="E14" s="139">
        <f>(SUMIF(CHW_Time!$E$6:$E$105,$B14,CHW_Time!K$6:K$105))/60</f>
        <v>0</v>
      </c>
      <c r="F14" s="139">
        <f>(SUMIF(CHW_Time!$E$6:$E$105,$B14,CHW_Time!L$6:L$105))/60</f>
        <v>0</v>
      </c>
    </row>
    <row r="15" spans="1:18" ht="15" thickBot="1" x14ac:dyDescent="0.45">
      <c r="B15" s="160" t="s">
        <v>99</v>
      </c>
      <c r="C15" s="211">
        <f>IF(ROUND(SUM(C8:C14),0.01)=ROUND(CHW_Time!I4/60,0.01),CHW_Time!I4/60,"Error")</f>
        <v>0</v>
      </c>
      <c r="D15" s="211">
        <f>IF(ROUND(SUM(D8:D14),0.01)=ROUND(CHW_Time!J4/60,0.01),CHW_Time!J4/60,"Error")</f>
        <v>0</v>
      </c>
      <c r="E15" s="211">
        <f>IF(ROUND(SUM(E8:E14),0.01)=ROUND(CHW_Time!K4/60,0.01),CHW_Time!K4/60,"Error")</f>
        <v>0</v>
      </c>
      <c r="F15" s="211">
        <f>IF(ROUND(SUM(F8:F14),0.01)=ROUND(CHW_Time!L4/60,0.01),CHW_Time!L4/60,"Error")</f>
        <v>0</v>
      </c>
    </row>
    <row r="17" spans="2:8" ht="15" thickBot="1" x14ac:dyDescent="0.45">
      <c r="B17" s="2" t="s">
        <v>123</v>
      </c>
      <c r="F17" s="208"/>
    </row>
    <row r="18" spans="2:8" x14ac:dyDescent="0.4">
      <c r="B18" s="164" t="str">
        <f>IF(_chw1&lt;&gt;"",_chw1,"")</f>
        <v/>
      </c>
      <c r="C18" s="210">
        <f>CHW_time_calcs_1!C61/60</f>
        <v>0</v>
      </c>
      <c r="D18" s="210">
        <f>CHW_time_calcs_1!D61/60</f>
        <v>0</v>
      </c>
      <c r="E18" s="210">
        <f>CHW_time_calcs_1!E61/60</f>
        <v>0</v>
      </c>
      <c r="F18" s="210">
        <f>CHW_time_calcs_1!F61/60</f>
        <v>0</v>
      </c>
    </row>
    <row r="19" spans="2:8" x14ac:dyDescent="0.4">
      <c r="B19" s="161" t="str">
        <f>IF(_chw2&lt;&gt;"",_chw2,"")</f>
        <v/>
      </c>
      <c r="C19" s="139">
        <f>CHW_time_calcs_1!C62/60</f>
        <v>0</v>
      </c>
      <c r="D19" s="139">
        <f>CHW_time_calcs_1!D62/60</f>
        <v>0</v>
      </c>
      <c r="E19" s="139">
        <f>CHW_time_calcs_1!E62/60</f>
        <v>0</v>
      </c>
      <c r="F19" s="139">
        <f>CHW_time_calcs_1!F62/60</f>
        <v>0</v>
      </c>
    </row>
    <row r="20" spans="2:8" x14ac:dyDescent="0.4">
      <c r="B20" s="161" t="str">
        <f>IF(_chw3&lt;&gt;"",_chw3,"")</f>
        <v/>
      </c>
      <c r="C20" s="139">
        <f>CHW_time_calcs_1!C63/60</f>
        <v>0</v>
      </c>
      <c r="D20" s="139">
        <f>CHW_time_calcs_1!D63/60</f>
        <v>0</v>
      </c>
      <c r="E20" s="139">
        <f>CHW_time_calcs_1!E63/60</f>
        <v>0</v>
      </c>
      <c r="F20" s="139">
        <f>CHW_time_calcs_1!F63/60</f>
        <v>0</v>
      </c>
    </row>
    <row r="21" spans="2:8" x14ac:dyDescent="0.4">
      <c r="B21" s="161" t="str">
        <f>IF(_chw4&lt;&gt;"",_chw4,"")</f>
        <v/>
      </c>
      <c r="C21" s="139">
        <f>CHW_time_calcs_1!C64/60</f>
        <v>0</v>
      </c>
      <c r="D21" s="139">
        <f>CHW_time_calcs_1!D64/60</f>
        <v>0</v>
      </c>
      <c r="E21" s="139">
        <f>CHW_time_calcs_1!E64/60</f>
        <v>0</v>
      </c>
      <c r="F21" s="139">
        <f>CHW_time_calcs_1!F64/60</f>
        <v>0</v>
      </c>
    </row>
    <row r="22" spans="2:8" x14ac:dyDescent="0.4">
      <c r="B22" s="161" t="str">
        <f>IF(_chw5&lt;&gt;"",_chw5,"")</f>
        <v/>
      </c>
      <c r="C22" s="139">
        <f>CHW_time_calcs_1!C65/60</f>
        <v>0</v>
      </c>
      <c r="D22" s="139">
        <f>CHW_time_calcs_1!D65/60</f>
        <v>0</v>
      </c>
      <c r="E22" s="139">
        <f>CHW_time_calcs_1!E65/60</f>
        <v>0</v>
      </c>
      <c r="F22" s="139">
        <f>CHW_time_calcs_1!F65/60</f>
        <v>0</v>
      </c>
    </row>
    <row r="23" spans="2:8" ht="15" thickBot="1" x14ac:dyDescent="0.45">
      <c r="B23" s="163" t="str">
        <f>IF(_chw6&lt;&gt;"",_chw6,"")</f>
        <v/>
      </c>
      <c r="C23" s="212">
        <f>CHW_time_calcs_1!C66/60</f>
        <v>0</v>
      </c>
      <c r="D23" s="212">
        <f>CHW_time_calcs_1!D66/60</f>
        <v>0</v>
      </c>
      <c r="E23" s="212">
        <f>CHW_time_calcs_1!E66/60</f>
        <v>0</v>
      </c>
      <c r="F23" s="212">
        <f>CHW_time_calcs_1!F66/60</f>
        <v>0</v>
      </c>
    </row>
    <row r="24" spans="2:8" x14ac:dyDescent="0.4">
      <c r="C24" s="170"/>
    </row>
    <row r="25" spans="2:8" ht="15" thickBot="1" x14ac:dyDescent="0.45">
      <c r="B25" s="2" t="s">
        <v>124</v>
      </c>
    </row>
    <row r="26" spans="2:8" x14ac:dyDescent="0.4">
      <c r="B26" s="164" t="str">
        <f>IF(_chw1&lt;&gt;"",_chw1,"")</f>
        <v/>
      </c>
      <c r="C26" s="210">
        <f>IF($B26&lt;&gt;"",C18/CHW_time_calcs_1!$I3,0)</f>
        <v>0</v>
      </c>
      <c r="D26" s="210">
        <f>IF($B26&lt;&gt;"",D18/CHW_time_calcs_1!$I3,0)</f>
        <v>0</v>
      </c>
      <c r="E26" s="210">
        <f>IF($B26&lt;&gt;"",E18/CHW_time_calcs_1!$I3,0)</f>
        <v>0</v>
      </c>
      <c r="F26" s="210">
        <f>IF($B26&lt;&gt;"",F18/CHW_time_calcs_1!$I3,0)</f>
        <v>0</v>
      </c>
      <c r="H26" s="170"/>
    </row>
    <row r="27" spans="2:8" x14ac:dyDescent="0.4">
      <c r="B27" s="161" t="str">
        <f>IF(_chw2&lt;&gt;"",_chw2,"")</f>
        <v/>
      </c>
      <c r="C27" s="139">
        <f>IF($B27&lt;&gt;"",C19/CHW_time_calcs_1!$I4,0)</f>
        <v>0</v>
      </c>
      <c r="D27" s="139">
        <f>IF($B27&lt;&gt;"",D19/CHW_time_calcs_1!$I4,0)</f>
        <v>0</v>
      </c>
      <c r="E27" s="139">
        <f>IF($B27&lt;&gt;"",E19/CHW_time_calcs_1!$I4,0)</f>
        <v>0</v>
      </c>
      <c r="F27" s="139">
        <f>IF($B27&lt;&gt;"",F19/CHW_time_calcs_1!$I4,0)</f>
        <v>0</v>
      </c>
    </row>
    <row r="28" spans="2:8" x14ac:dyDescent="0.4">
      <c r="B28" s="161" t="str">
        <f>IF(_chw3&lt;&gt;"",_chw3,"")</f>
        <v/>
      </c>
      <c r="C28" s="139">
        <f>IF($B28&lt;&gt;"",C20/CHW_time_calcs_1!$I5,0)</f>
        <v>0</v>
      </c>
      <c r="D28" s="139">
        <f>IF($B28&lt;&gt;"",D20/CHW_time_calcs_1!$I5,0)</f>
        <v>0</v>
      </c>
      <c r="E28" s="139">
        <f>IF($B28&lt;&gt;"",E20/CHW_time_calcs_1!$I5,0)</f>
        <v>0</v>
      </c>
      <c r="F28" s="139">
        <f>IF($B28&lt;&gt;"",F20/CHW_time_calcs_1!$I5,0)</f>
        <v>0</v>
      </c>
    </row>
    <row r="29" spans="2:8" x14ac:dyDescent="0.4">
      <c r="B29" s="161" t="str">
        <f>IF(_chw4&lt;&gt;"",_chw4,"")</f>
        <v/>
      </c>
      <c r="C29" s="139">
        <f>IF($B29&lt;&gt;"",C21/CHW_time_calcs_1!$I6,0)</f>
        <v>0</v>
      </c>
      <c r="D29" s="139">
        <f>IF($B29&lt;&gt;"",D21/CHW_time_calcs_1!$I6,0)</f>
        <v>0</v>
      </c>
      <c r="E29" s="139">
        <f>IF($B29&lt;&gt;"",E21/CHW_time_calcs_1!$I6,0)</f>
        <v>0</v>
      </c>
      <c r="F29" s="139">
        <f>IF($B29&lt;&gt;"",F21/CHW_time_calcs_1!$I6,0)</f>
        <v>0</v>
      </c>
    </row>
    <row r="30" spans="2:8" x14ac:dyDescent="0.4">
      <c r="B30" s="161" t="str">
        <f>IF(_chw5&lt;&gt;"",_chw5,"")</f>
        <v/>
      </c>
      <c r="C30" s="139">
        <f>IF($B30&lt;&gt;"",C22/CHW_time_calcs_1!$I7,0)</f>
        <v>0</v>
      </c>
      <c r="D30" s="139">
        <f>IF($B30&lt;&gt;"",D22/CHW_time_calcs_1!$I7,0)</f>
        <v>0</v>
      </c>
      <c r="E30" s="139">
        <f>IF($B30&lt;&gt;"",E22/CHW_time_calcs_1!$I7,0)</f>
        <v>0</v>
      </c>
      <c r="F30" s="139">
        <f>IF($B30&lt;&gt;"",F22/CHW_time_calcs_1!$I7,0)</f>
        <v>0</v>
      </c>
    </row>
    <row r="31" spans="2:8" ht="15" thickBot="1" x14ac:dyDescent="0.45">
      <c r="B31" s="163" t="str">
        <f>IF(_chw6&lt;&gt;"",_chw6,"")</f>
        <v/>
      </c>
      <c r="C31" s="212">
        <f>IF($B31&lt;&gt;"",C23/CHW_time_calcs_1!$I8,0)</f>
        <v>0</v>
      </c>
      <c r="D31" s="212">
        <f>IF($B31&lt;&gt;"",D23/CHW_time_calcs_1!$I8,0)</f>
        <v>0</v>
      </c>
      <c r="E31" s="212">
        <f>IF($B31&lt;&gt;"",E23/CHW_time_calcs_1!$I8,0)</f>
        <v>0</v>
      </c>
      <c r="F31" s="212">
        <f>IF($B31&lt;&gt;"",F23/CHW_time_calcs_1!$I8,0)</f>
        <v>0</v>
      </c>
    </row>
    <row r="33" spans="2:6" ht="15" thickBot="1" x14ac:dyDescent="0.45">
      <c r="B33" s="2" t="str">
        <f>_chw1&amp;":  % of CHW Time spent on various activities"</f>
        <v>:  % of CHW Time spent on various activities</v>
      </c>
    </row>
    <row r="34" spans="2:6" x14ac:dyDescent="0.4">
      <c r="B34" s="164" t="s">
        <v>125</v>
      </c>
      <c r="C34" s="213" t="str">
        <f>IF(_chw1&lt;&gt;"",CHW_time_calcs_1!C13/CHW_time_calcs_1!C61,"")</f>
        <v/>
      </c>
      <c r="D34" s="213" t="str">
        <f>IF(_chw1&lt;&gt;"",CHW_time_calcs_1!D13/CHW_time_calcs_1!D61,"")</f>
        <v/>
      </c>
      <c r="E34" s="213" t="str">
        <f>IF(_chw1&lt;&gt;"",CHW_time_calcs_1!E13/CHW_time_calcs_1!E61,"")</f>
        <v/>
      </c>
      <c r="F34" s="213" t="str">
        <f>IF(_chw1&lt;&gt;"",CHW_time_calcs_1!F13/CHW_time_calcs_1!F61,"")</f>
        <v/>
      </c>
    </row>
    <row r="35" spans="2:6" x14ac:dyDescent="0.4">
      <c r="B35" s="161" t="s">
        <v>126</v>
      </c>
      <c r="C35" s="214" t="str">
        <f>IF(_chw1&lt;&gt;"",CHW_time_calcs_1!C21/CHW_time_calcs_1!C61,"")</f>
        <v/>
      </c>
      <c r="D35" s="214" t="str">
        <f>IF(_chw1&lt;&gt;"",CHW_time_calcs_1!D21/CHW_time_calcs_1!D61,"")</f>
        <v/>
      </c>
      <c r="E35" s="214" t="str">
        <f>IF(_chw1&lt;&gt;"",CHW_time_calcs_1!E21/CHW_time_calcs_1!E61,"")</f>
        <v/>
      </c>
      <c r="F35" s="214" t="str">
        <f>IF(_chw1&lt;&gt;"",CHW_time_calcs_1!F21/CHW_time_calcs_1!F61,"")</f>
        <v/>
      </c>
    </row>
    <row r="36" spans="2:6" x14ac:dyDescent="0.4">
      <c r="B36" s="161" t="s">
        <v>127</v>
      </c>
      <c r="C36" s="214" t="str">
        <f>IF(_chw1&lt;&gt;"",CHW_time_calcs_1!C29/CHW_time_calcs_1!C61,"")</f>
        <v/>
      </c>
      <c r="D36" s="214" t="str">
        <f>IF(_chw1&lt;&gt;"",CHW_time_calcs_1!D29/CHW_time_calcs_1!D61,"")</f>
        <v/>
      </c>
      <c r="E36" s="214" t="str">
        <f>IF(_chw1&lt;&gt;"",CHW_time_calcs_1!E29/CHW_time_calcs_1!E61,"")</f>
        <v/>
      </c>
      <c r="F36" s="214" t="str">
        <f>IF(_chw1&lt;&gt;"",CHW_time_calcs_1!F29/CHW_time_calcs_1!F61,"")</f>
        <v/>
      </c>
    </row>
    <row r="37" spans="2:6" x14ac:dyDescent="0.4">
      <c r="B37" s="161" t="s">
        <v>102</v>
      </c>
      <c r="C37" s="214" t="str">
        <f>IF(_chw1&lt;&gt;"",CHW_time_calcs_1!C37/CHW_time_calcs_1!C61,"")</f>
        <v/>
      </c>
      <c r="D37" s="214" t="str">
        <f>IF(_chw1&lt;&gt;"",CHW_time_calcs_1!D37/CHW_time_calcs_1!D61,"")</f>
        <v/>
      </c>
      <c r="E37" s="214" t="str">
        <f>IF(_chw1&lt;&gt;"",CHW_time_calcs_1!E37/CHW_time_calcs_1!E61,"")</f>
        <v/>
      </c>
      <c r="F37" s="214" t="str">
        <f>IF(_chw1&lt;&gt;"",CHW_time_calcs_1!F37/CHW_time_calcs_1!F61,"")</f>
        <v/>
      </c>
    </row>
    <row r="38" spans="2:6" x14ac:dyDescent="0.4">
      <c r="B38" s="161" t="s">
        <v>103</v>
      </c>
      <c r="C38" s="214" t="str">
        <f>IF(_chw1&lt;&gt;"",CHW_time_calcs_1!C45/CHW_time_calcs_1!C61,"")</f>
        <v/>
      </c>
      <c r="D38" s="214" t="str">
        <f>IF(_chw1&lt;&gt;"",CHW_time_calcs_1!D45/CHW_time_calcs_1!D61,"")</f>
        <v/>
      </c>
      <c r="E38" s="214" t="str">
        <f>IF(_chw1&lt;&gt;"",CHW_time_calcs_1!E45/CHW_time_calcs_1!E61,"")</f>
        <v/>
      </c>
      <c r="F38" s="214" t="str">
        <f>IF(_chw1&lt;&gt;"",CHW_time_calcs_1!F45/CHW_time_calcs_1!F61,"")</f>
        <v/>
      </c>
    </row>
    <row r="39" spans="2:6" ht="15" thickBot="1" x14ac:dyDescent="0.45">
      <c r="B39" s="163" t="s">
        <v>1572</v>
      </c>
      <c r="C39" s="214" t="str">
        <f>IF(_chw1&lt;&gt;"",CHW_time_calcs_1!C53/CHW_time_calcs_1!C61,"")</f>
        <v/>
      </c>
      <c r="D39" s="214" t="str">
        <f>IF(_chw1&lt;&gt;"",CHW_time_calcs_1!D53/CHW_time_calcs_1!D61,"")</f>
        <v/>
      </c>
      <c r="E39" s="214" t="str">
        <f>IF(_chw1&lt;&gt;"",CHW_time_calcs_1!E53/CHW_time_calcs_1!E61,"")</f>
        <v/>
      </c>
      <c r="F39" s="214" t="str">
        <f>IF(_chw1&lt;&gt;"",CHW_time_calcs_1!F53/CHW_time_calcs_1!F61,"")</f>
        <v/>
      </c>
    </row>
    <row r="40" spans="2:6" ht="15" thickBot="1" x14ac:dyDescent="0.45">
      <c r="B40" s="160" t="s">
        <v>99</v>
      </c>
      <c r="C40" s="215">
        <f>SUM(C34:C39)</f>
        <v>0</v>
      </c>
      <c r="D40" s="215">
        <f t="shared" ref="D40:F40" si="1">SUM(D34:D39)</f>
        <v>0</v>
      </c>
      <c r="E40" s="215">
        <f t="shared" si="1"/>
        <v>0</v>
      </c>
      <c r="F40" s="215">
        <f t="shared" si="1"/>
        <v>0</v>
      </c>
    </row>
    <row r="42" spans="2:6" s="323" customFormat="1" ht="15" thickBot="1" x14ac:dyDescent="0.45">
      <c r="B42" s="324" t="str">
        <f>_chw2&amp;":  % of CHW Time spent on various activities"</f>
        <v>:  % of CHW Time spent on various activities</v>
      </c>
    </row>
    <row r="43" spans="2:6" s="323" customFormat="1" x14ac:dyDescent="0.4">
      <c r="B43" s="164" t="s">
        <v>125</v>
      </c>
      <c r="C43" s="213" t="str">
        <f>IF(_chw2&lt;&gt;"",CHW_time_calcs_1!C$14/CHW_time_calcs_1!C$62,"")</f>
        <v/>
      </c>
      <c r="D43" s="213" t="str">
        <f>IF(_chw2&lt;&gt;"",CHW_time_calcs_1!D$14/CHW_time_calcs_1!D$62,"")</f>
        <v/>
      </c>
      <c r="E43" s="213" t="str">
        <f>IF(_chw2&lt;&gt;"",CHW_time_calcs_1!E$14/CHW_time_calcs_1!E$62,"")</f>
        <v/>
      </c>
      <c r="F43" s="213" t="str">
        <f>IF(_chw2&lt;&gt;"",CHW_time_calcs_1!F$14/CHW_time_calcs_1!F$62,"")</f>
        <v/>
      </c>
    </row>
    <row r="44" spans="2:6" s="323" customFormat="1" x14ac:dyDescent="0.4">
      <c r="B44" s="161" t="s">
        <v>126</v>
      </c>
      <c r="C44" s="214" t="str">
        <f>IF(_chw2&lt;&gt;"",CHW_time_calcs_1!C$22/CHW_time_calcs_1!C$62,"")</f>
        <v/>
      </c>
      <c r="D44" s="214" t="str">
        <f>IF(_chw2&lt;&gt;"",CHW_time_calcs_1!D$22/CHW_time_calcs_1!D$62,"")</f>
        <v/>
      </c>
      <c r="E44" s="214" t="str">
        <f>IF(_chw2&lt;&gt;"",CHW_time_calcs_1!E$22/CHW_time_calcs_1!E$62,"")</f>
        <v/>
      </c>
      <c r="F44" s="214" t="str">
        <f>IF(_chw2&lt;&gt;"",CHW_time_calcs_1!F$22/CHW_time_calcs_1!F$62,"")</f>
        <v/>
      </c>
    </row>
    <row r="45" spans="2:6" s="323" customFormat="1" x14ac:dyDescent="0.4">
      <c r="B45" s="161" t="s">
        <v>127</v>
      </c>
      <c r="C45" s="214" t="str">
        <f>IF(_chw2&lt;&gt;"",CHW_time_calcs_1!C$30/CHW_time_calcs_1!C$62,"")</f>
        <v/>
      </c>
      <c r="D45" s="214" t="str">
        <f>IF(_chw2&lt;&gt;"",CHW_time_calcs_1!D$30/CHW_time_calcs_1!D$62,"")</f>
        <v/>
      </c>
      <c r="E45" s="214" t="str">
        <f>IF(_chw2&lt;&gt;"",CHW_time_calcs_1!E$30/CHW_time_calcs_1!E$62,"")</f>
        <v/>
      </c>
      <c r="F45" s="214" t="str">
        <f>IF(_chw2&lt;&gt;"",CHW_time_calcs_1!F$30/CHW_time_calcs_1!F$62,"")</f>
        <v/>
      </c>
    </row>
    <row r="46" spans="2:6" s="323" customFormat="1" x14ac:dyDescent="0.4">
      <c r="B46" s="161" t="s">
        <v>102</v>
      </c>
      <c r="C46" s="214" t="str">
        <f>IF(_chw2&lt;&gt;"",CHW_time_calcs_1!C$38/CHW_time_calcs_1!C$62,"")</f>
        <v/>
      </c>
      <c r="D46" s="214" t="str">
        <f>IF(_chw2&lt;&gt;"",CHW_time_calcs_1!D$38/CHW_time_calcs_1!D$62,"")</f>
        <v/>
      </c>
      <c r="E46" s="214" t="str">
        <f>IF(_chw2&lt;&gt;"",CHW_time_calcs_1!E$38/CHW_time_calcs_1!E$62,"")</f>
        <v/>
      </c>
      <c r="F46" s="214" t="str">
        <f>IF(_chw2&lt;&gt;"",CHW_time_calcs_1!F$38/CHW_time_calcs_1!F$62,"")</f>
        <v/>
      </c>
    </row>
    <row r="47" spans="2:6" s="323" customFormat="1" x14ac:dyDescent="0.4">
      <c r="B47" s="161" t="s">
        <v>103</v>
      </c>
      <c r="C47" s="214" t="str">
        <f>IF(_chw2&lt;&gt;"",CHW_time_calcs_1!C$46/CHW_time_calcs_1!C$62,"")</f>
        <v/>
      </c>
      <c r="D47" s="214" t="str">
        <f>IF(_chw2&lt;&gt;"",CHW_time_calcs_1!D$46/CHW_time_calcs_1!D$62,"")</f>
        <v/>
      </c>
      <c r="E47" s="214" t="str">
        <f>IF(_chw2&lt;&gt;"",CHW_time_calcs_1!E$46/CHW_time_calcs_1!E$62,"")</f>
        <v/>
      </c>
      <c r="F47" s="214" t="str">
        <f>IF(_chw2&lt;&gt;"",CHW_time_calcs_1!F$46/CHW_time_calcs_1!F$62,"")</f>
        <v/>
      </c>
    </row>
    <row r="48" spans="2:6" s="323" customFormat="1" ht="15" thickBot="1" x14ac:dyDescent="0.45">
      <c r="B48" s="163" t="s">
        <v>1572</v>
      </c>
      <c r="C48" s="214" t="str">
        <f>IF(_chw2&lt;&gt;"",CHW_time_calcs_1!C$54/CHW_time_calcs_1!C$62,"")</f>
        <v/>
      </c>
      <c r="D48" s="214" t="str">
        <f>IF(_chw2&lt;&gt;"",CHW_time_calcs_1!D$54/CHW_time_calcs_1!D$62,"")</f>
        <v/>
      </c>
      <c r="E48" s="214" t="str">
        <f>IF(_chw2&lt;&gt;"",CHW_time_calcs_1!E$54/CHW_time_calcs_1!E$62,"")</f>
        <v/>
      </c>
      <c r="F48" s="214" t="str">
        <f>IF(_chw2&lt;&gt;"",CHW_time_calcs_1!F$54/CHW_time_calcs_1!F$62,"")</f>
        <v/>
      </c>
    </row>
    <row r="49" spans="2:6" s="323" customFormat="1" ht="15" thickBot="1" x14ac:dyDescent="0.45">
      <c r="B49" s="160" t="s">
        <v>99</v>
      </c>
      <c r="C49" s="215">
        <f t="shared" ref="C49:F49" si="2">SUM(C43:C48)</f>
        <v>0</v>
      </c>
      <c r="D49" s="215">
        <f t="shared" si="2"/>
        <v>0</v>
      </c>
      <c r="E49" s="215">
        <f t="shared" si="2"/>
        <v>0</v>
      </c>
      <c r="F49" s="215">
        <f t="shared" si="2"/>
        <v>0</v>
      </c>
    </row>
    <row r="50" spans="2:6" s="323" customFormat="1" x14ac:dyDescent="0.4"/>
    <row r="51" spans="2:6" ht="15" thickBot="1" x14ac:dyDescent="0.45">
      <c r="B51" s="2" t="str">
        <f>_chw3&amp;":  % of CHW Time spent on various activities"</f>
        <v>:  % of CHW Time spent on various activities</v>
      </c>
    </row>
    <row r="52" spans="2:6" x14ac:dyDescent="0.4">
      <c r="B52" s="164" t="s">
        <v>125</v>
      </c>
      <c r="C52" s="213" t="str">
        <f>IF(_chw3&lt;&gt;"",CHW_time_calcs_1!C$15/CHW_time_calcs_1!C$63,"")</f>
        <v/>
      </c>
      <c r="D52" s="213" t="str">
        <f>IF(_chw3&lt;&gt;"",CHW_time_calcs_1!D$15/CHW_time_calcs_1!D$63,"")</f>
        <v/>
      </c>
      <c r="E52" s="213" t="str">
        <f>IF(_chw3&lt;&gt;"",CHW_time_calcs_1!E$15/CHW_time_calcs_1!E$63,"")</f>
        <v/>
      </c>
      <c r="F52" s="213" t="str">
        <f>IF(_chw3&lt;&gt;"",CHW_time_calcs_1!F$15/CHW_time_calcs_1!F$63,"")</f>
        <v/>
      </c>
    </row>
    <row r="53" spans="2:6" x14ac:dyDescent="0.4">
      <c r="B53" s="161" t="s">
        <v>126</v>
      </c>
      <c r="C53" s="214" t="str">
        <f>IF(_chw3&lt;&gt;"",CHW_time_calcs_1!C$23/CHW_time_calcs_1!C$63,"")</f>
        <v/>
      </c>
      <c r="D53" s="214" t="str">
        <f>IF(_chw3&lt;&gt;"",CHW_time_calcs_1!D$23/CHW_time_calcs_1!D$63,"")</f>
        <v/>
      </c>
      <c r="E53" s="214" t="str">
        <f>IF(_chw3&lt;&gt;"",CHW_time_calcs_1!E$23/CHW_time_calcs_1!E$63,"")</f>
        <v/>
      </c>
      <c r="F53" s="214" t="str">
        <f>IF(_chw3&lt;&gt;"",CHW_time_calcs_1!F$23/CHW_time_calcs_1!F$63,"")</f>
        <v/>
      </c>
    </row>
    <row r="54" spans="2:6" x14ac:dyDescent="0.4">
      <c r="B54" s="161" t="s">
        <v>127</v>
      </c>
      <c r="C54" s="214" t="str">
        <f>IF(_chw3&lt;&gt;"",CHW_time_calcs_1!C$31/CHW_time_calcs_1!C$63,"")</f>
        <v/>
      </c>
      <c r="D54" s="214" t="str">
        <f>IF(_chw3&lt;&gt;"",CHW_time_calcs_1!D$31/CHW_time_calcs_1!D$63,"")</f>
        <v/>
      </c>
      <c r="E54" s="214" t="str">
        <f>IF(_chw3&lt;&gt;"",CHW_time_calcs_1!E$31/CHW_time_calcs_1!E$63,"")</f>
        <v/>
      </c>
      <c r="F54" s="214" t="str">
        <f>IF(_chw3&lt;&gt;"",CHW_time_calcs_1!F$31/CHW_time_calcs_1!F$63,"")</f>
        <v/>
      </c>
    </row>
    <row r="55" spans="2:6" x14ac:dyDescent="0.4">
      <c r="B55" s="161" t="s">
        <v>102</v>
      </c>
      <c r="C55" s="214" t="str">
        <f>IF(_chw3&lt;&gt;"",CHW_time_calcs_1!C$39/CHW_time_calcs_1!C$63,"")</f>
        <v/>
      </c>
      <c r="D55" s="214" t="str">
        <f>IF(_chw3&lt;&gt;"",CHW_time_calcs_1!D$39/CHW_time_calcs_1!D$63,"")</f>
        <v/>
      </c>
      <c r="E55" s="214" t="str">
        <f>IF(_chw3&lt;&gt;"",CHW_time_calcs_1!E$39/CHW_time_calcs_1!E$63,"")</f>
        <v/>
      </c>
      <c r="F55" s="214" t="str">
        <f>IF(_chw3&lt;&gt;"",CHW_time_calcs_1!F$39/CHW_time_calcs_1!F$63,"")</f>
        <v/>
      </c>
    </row>
    <row r="56" spans="2:6" x14ac:dyDescent="0.4">
      <c r="B56" s="161" t="s">
        <v>103</v>
      </c>
      <c r="C56" s="214" t="str">
        <f>IF(_chw3&lt;&gt;"",CHW_time_calcs_1!C$47/CHW_time_calcs_1!C$63,"")</f>
        <v/>
      </c>
      <c r="D56" s="214" t="str">
        <f>IF(_chw3&lt;&gt;"",CHW_time_calcs_1!D$47/CHW_time_calcs_1!D$63,"")</f>
        <v/>
      </c>
      <c r="E56" s="214" t="str">
        <f>IF(_chw3&lt;&gt;"",CHW_time_calcs_1!E$47/CHW_time_calcs_1!E$63,"")</f>
        <v/>
      </c>
      <c r="F56" s="214" t="str">
        <f>IF(_chw3&lt;&gt;"",CHW_time_calcs_1!F$47/CHW_time_calcs_1!F$63,"")</f>
        <v/>
      </c>
    </row>
    <row r="57" spans="2:6" ht="15" thickBot="1" x14ac:dyDescent="0.45">
      <c r="B57" s="163" t="s">
        <v>1572</v>
      </c>
      <c r="C57" s="214" t="str">
        <f>IF(_chw3&lt;&gt;"",CHW_time_calcs_1!C$55/CHW_time_calcs_1!C$63,"")</f>
        <v/>
      </c>
      <c r="D57" s="214" t="str">
        <f>IF(_chw3&lt;&gt;"",CHW_time_calcs_1!D$55/CHW_time_calcs_1!D$63,"")</f>
        <v/>
      </c>
      <c r="E57" s="214" t="str">
        <f>IF(_chw3&lt;&gt;"",CHW_time_calcs_1!E$55/CHW_time_calcs_1!E$63,"")</f>
        <v/>
      </c>
      <c r="F57" s="214" t="str">
        <f>IF(_chw3&lt;&gt;"",CHW_time_calcs_1!F$55/CHW_time_calcs_1!F$63,"")</f>
        <v/>
      </c>
    </row>
    <row r="58" spans="2:6" ht="15" thickBot="1" x14ac:dyDescent="0.45">
      <c r="B58" s="160" t="s">
        <v>99</v>
      </c>
      <c r="C58" s="215">
        <f t="shared" ref="C58:F58" si="3">SUM(C52:C57)</f>
        <v>0</v>
      </c>
      <c r="D58" s="215">
        <f t="shared" si="3"/>
        <v>0</v>
      </c>
      <c r="E58" s="215">
        <f t="shared" si="3"/>
        <v>0</v>
      </c>
      <c r="F58" s="215">
        <f t="shared" si="3"/>
        <v>0</v>
      </c>
    </row>
    <row r="60" spans="2:6" s="323" customFormat="1" ht="15" thickBot="1" x14ac:dyDescent="0.45">
      <c r="B60" s="324" t="str">
        <f>_chw4&amp;":  % of CHW Time spent on various activities"</f>
        <v>:  % of CHW Time spent on various activities</v>
      </c>
    </row>
    <row r="61" spans="2:6" s="323" customFormat="1" x14ac:dyDescent="0.4">
      <c r="B61" s="164" t="s">
        <v>125</v>
      </c>
      <c r="C61" s="213" t="str">
        <f>IF(_chw4&lt;&gt;"",CHW_time_calcs_1!C$16/CHW_time_calcs_1!C$64,"")</f>
        <v/>
      </c>
      <c r="D61" s="213" t="str">
        <f>IF(_chw4&lt;&gt;"",CHW_time_calcs_1!D$16/CHW_time_calcs_1!D$64,"")</f>
        <v/>
      </c>
      <c r="E61" s="213" t="str">
        <f>IF(_chw4&lt;&gt;"",CHW_time_calcs_1!E$16/CHW_time_calcs_1!E$64,"")</f>
        <v/>
      </c>
      <c r="F61" s="213" t="str">
        <f>IF(_chw4&lt;&gt;"",CHW_time_calcs_1!F$16/CHW_time_calcs_1!F$64,"")</f>
        <v/>
      </c>
    </row>
    <row r="62" spans="2:6" s="323" customFormat="1" x14ac:dyDescent="0.4">
      <c r="B62" s="161" t="s">
        <v>126</v>
      </c>
      <c r="C62" s="214" t="str">
        <f>IF(_chw4&lt;&gt;"",CHW_time_calcs_1!C$24/CHW_time_calcs_1!C$64,"")</f>
        <v/>
      </c>
      <c r="D62" s="214" t="str">
        <f>IF(_chw4&lt;&gt;"",CHW_time_calcs_1!D$24/CHW_time_calcs_1!D$64,"")</f>
        <v/>
      </c>
      <c r="E62" s="214" t="str">
        <f>IF(_chw4&lt;&gt;"",CHW_time_calcs_1!E$24/CHW_time_calcs_1!E$64,"")</f>
        <v/>
      </c>
      <c r="F62" s="214" t="str">
        <f>IF(_chw4&lt;&gt;"",CHW_time_calcs_1!F$24/CHW_time_calcs_1!F$64,"")</f>
        <v/>
      </c>
    </row>
    <row r="63" spans="2:6" s="323" customFormat="1" x14ac:dyDescent="0.4">
      <c r="B63" s="161" t="s">
        <v>127</v>
      </c>
      <c r="C63" s="214" t="str">
        <f>IF(_chw4&lt;&gt;"",CHW_time_calcs_1!C$33/CHW_time_calcs_1!C$64,"")</f>
        <v/>
      </c>
      <c r="D63" s="214" t="str">
        <f>IF(_chw4&lt;&gt;"",CHW_time_calcs_1!D$33/CHW_time_calcs_1!D$64,"")</f>
        <v/>
      </c>
      <c r="E63" s="214" t="str">
        <f>IF(_chw4&lt;&gt;"",CHW_time_calcs_1!E$33/CHW_time_calcs_1!E$64,"")</f>
        <v/>
      </c>
      <c r="F63" s="214" t="str">
        <f>IF(_chw4&lt;&gt;"",CHW_time_calcs_1!F$33/CHW_time_calcs_1!F$64,"")</f>
        <v/>
      </c>
    </row>
    <row r="64" spans="2:6" s="323" customFormat="1" x14ac:dyDescent="0.4">
      <c r="B64" s="161" t="s">
        <v>102</v>
      </c>
      <c r="C64" s="214" t="str">
        <f>IF(_chw4&lt;&gt;"",CHW_time_calcs_1!C$40/CHW_time_calcs_1!C$64,"")</f>
        <v/>
      </c>
      <c r="D64" s="214" t="str">
        <f>IF(_chw4&lt;&gt;"",CHW_time_calcs_1!D$40/CHW_time_calcs_1!D$64,"")</f>
        <v/>
      </c>
      <c r="E64" s="214" t="str">
        <f>IF(_chw4&lt;&gt;"",CHW_time_calcs_1!E$40/CHW_time_calcs_1!E$64,"")</f>
        <v/>
      </c>
      <c r="F64" s="214" t="str">
        <f>IF(_chw4&lt;&gt;"",CHW_time_calcs_1!F$40/CHW_time_calcs_1!F$64,"")</f>
        <v/>
      </c>
    </row>
    <row r="65" spans="2:6" s="323" customFormat="1" x14ac:dyDescent="0.4">
      <c r="B65" s="161" t="s">
        <v>103</v>
      </c>
      <c r="C65" s="214" t="str">
        <f>IF(_chw4&lt;&gt;"",CHW_time_calcs_1!C$48/CHW_time_calcs_1!C$64,"")</f>
        <v/>
      </c>
      <c r="D65" s="214" t="str">
        <f>IF(_chw4&lt;&gt;"",CHW_time_calcs_1!D$48/CHW_time_calcs_1!D$64,"")</f>
        <v/>
      </c>
      <c r="E65" s="214" t="str">
        <f>IF(_chw4&lt;&gt;"",CHW_time_calcs_1!E$48/CHW_time_calcs_1!E$64,"")</f>
        <v/>
      </c>
      <c r="F65" s="214" t="str">
        <f>IF(_chw4&lt;&gt;"",CHW_time_calcs_1!F$48/CHW_time_calcs_1!F$64,"")</f>
        <v/>
      </c>
    </row>
    <row r="66" spans="2:6" s="323" customFormat="1" ht="15" thickBot="1" x14ac:dyDescent="0.45">
      <c r="B66" s="163" t="s">
        <v>1572</v>
      </c>
      <c r="C66" s="214" t="str">
        <f>IF(_chw4&lt;&gt;"",CHW_time_calcs_1!C$56/CHW_time_calcs_1!C$64,"")</f>
        <v/>
      </c>
      <c r="D66" s="214" t="str">
        <f>IF(_chw4&lt;&gt;"",CHW_time_calcs_1!D$56/CHW_time_calcs_1!D$64,"")</f>
        <v/>
      </c>
      <c r="E66" s="214" t="str">
        <f>IF(_chw4&lt;&gt;"",CHW_time_calcs_1!E$56/CHW_time_calcs_1!E$64,"")</f>
        <v/>
      </c>
      <c r="F66" s="214" t="str">
        <f>IF(_chw4&lt;&gt;"",CHW_time_calcs_1!F$56/CHW_time_calcs_1!F$64,"")</f>
        <v/>
      </c>
    </row>
    <row r="67" spans="2:6" s="323" customFormat="1" ht="15" thickBot="1" x14ac:dyDescent="0.45">
      <c r="B67" s="160" t="s">
        <v>99</v>
      </c>
      <c r="C67" s="215">
        <f t="shared" ref="C67:F67" si="4">SUM(C61:C66)</f>
        <v>0</v>
      </c>
      <c r="D67" s="215">
        <f t="shared" si="4"/>
        <v>0</v>
      </c>
      <c r="E67" s="215">
        <f t="shared" si="4"/>
        <v>0</v>
      </c>
      <c r="F67" s="215">
        <f t="shared" si="4"/>
        <v>0</v>
      </c>
    </row>
    <row r="68" spans="2:6" s="323" customFormat="1" x14ac:dyDescent="0.4"/>
    <row r="69" spans="2:6" s="323" customFormat="1" ht="15" thickBot="1" x14ac:dyDescent="0.45">
      <c r="B69" s="324" t="str">
        <f>_chw5&amp;":  % of CHW Time spent on various activities"</f>
        <v>:  % of CHW Time spent on various activities</v>
      </c>
    </row>
    <row r="70" spans="2:6" s="323" customFormat="1" x14ac:dyDescent="0.4">
      <c r="B70" s="164" t="s">
        <v>125</v>
      </c>
      <c r="C70" s="213" t="str">
        <f>IF(_chw5&lt;&gt;"",CHW_time_calcs_1!C$17/CHW_time_calcs_1!C$65,"")</f>
        <v/>
      </c>
      <c r="D70" s="213" t="str">
        <f>IF(_chw5&lt;&gt;"",CHW_time_calcs_1!D$17/CHW_time_calcs_1!D$65,"")</f>
        <v/>
      </c>
      <c r="E70" s="213" t="str">
        <f>IF(_chw5&lt;&gt;"",CHW_time_calcs_1!E$17/CHW_time_calcs_1!E$65,"")</f>
        <v/>
      </c>
      <c r="F70" s="213" t="str">
        <f>IF(_chw5&lt;&gt;"",CHW_time_calcs_1!F$17/CHW_time_calcs_1!F$65,"")</f>
        <v/>
      </c>
    </row>
    <row r="71" spans="2:6" s="323" customFormat="1" x14ac:dyDescent="0.4">
      <c r="B71" s="161" t="s">
        <v>126</v>
      </c>
      <c r="C71" s="214" t="str">
        <f>IF(_chw5&lt;&gt;"",CHW_time_calcs_1!C$25/CHW_time_calcs_1!C$65,"")</f>
        <v/>
      </c>
      <c r="D71" s="214" t="str">
        <f>IF(_chw5&lt;&gt;"",CHW_time_calcs_1!D$25/CHW_time_calcs_1!D$65,"")</f>
        <v/>
      </c>
      <c r="E71" s="214" t="str">
        <f>IF(_chw5&lt;&gt;"",CHW_time_calcs_1!E$25/CHW_time_calcs_1!E$65,"")</f>
        <v/>
      </c>
      <c r="F71" s="214" t="str">
        <f>IF(_chw5&lt;&gt;"",CHW_time_calcs_1!F$25/CHW_time_calcs_1!F$65,"")</f>
        <v/>
      </c>
    </row>
    <row r="72" spans="2:6" s="323" customFormat="1" x14ac:dyDescent="0.4">
      <c r="B72" s="161" t="s">
        <v>127</v>
      </c>
      <c r="C72" s="214" t="str">
        <f>IF(_chw5&lt;&gt;"",CHW_time_calcs_1!C$33/CHW_time_calcs_1!C$65,"")</f>
        <v/>
      </c>
      <c r="D72" s="214" t="str">
        <f>IF(_chw5&lt;&gt;"",CHW_time_calcs_1!D$33/CHW_time_calcs_1!D$65,"")</f>
        <v/>
      </c>
      <c r="E72" s="214" t="str">
        <f>IF(_chw5&lt;&gt;"",CHW_time_calcs_1!E$33/CHW_time_calcs_1!E$65,"")</f>
        <v/>
      </c>
      <c r="F72" s="214" t="str">
        <f>IF(_chw5&lt;&gt;"",CHW_time_calcs_1!F$33/CHW_time_calcs_1!F$65,"")</f>
        <v/>
      </c>
    </row>
    <row r="73" spans="2:6" s="323" customFormat="1" x14ac:dyDescent="0.4">
      <c r="B73" s="161" t="s">
        <v>102</v>
      </c>
      <c r="C73" s="214" t="str">
        <f>IF(_chw5&lt;&gt;"",CHW_time_calcs_1!C$41/CHW_time_calcs_1!C$65,"")</f>
        <v/>
      </c>
      <c r="D73" s="214" t="str">
        <f>IF(_chw5&lt;&gt;"",CHW_time_calcs_1!D$41/CHW_time_calcs_1!D$65,"")</f>
        <v/>
      </c>
      <c r="E73" s="214" t="str">
        <f>IF(_chw5&lt;&gt;"",CHW_time_calcs_1!E$41/CHW_time_calcs_1!E$65,"")</f>
        <v/>
      </c>
      <c r="F73" s="214" t="str">
        <f>IF(_chw5&lt;&gt;"",CHW_time_calcs_1!F$41/CHW_time_calcs_1!F$65,"")</f>
        <v/>
      </c>
    </row>
    <row r="74" spans="2:6" s="323" customFormat="1" x14ac:dyDescent="0.4">
      <c r="B74" s="161" t="s">
        <v>103</v>
      </c>
      <c r="C74" s="214" t="str">
        <f>IF(_chw5&lt;&gt;"",CHW_time_calcs_1!C$49/CHW_time_calcs_1!C$65,"")</f>
        <v/>
      </c>
      <c r="D74" s="214" t="str">
        <f>IF(_chw5&lt;&gt;"",CHW_time_calcs_1!D$49/CHW_time_calcs_1!D$65,"")</f>
        <v/>
      </c>
      <c r="E74" s="214" t="str">
        <f>IF(_chw5&lt;&gt;"",CHW_time_calcs_1!E$49/CHW_time_calcs_1!E$65,"")</f>
        <v/>
      </c>
      <c r="F74" s="214" t="str">
        <f>IF(_chw5&lt;&gt;"",CHW_time_calcs_1!F$49/CHW_time_calcs_1!F$65,"")</f>
        <v/>
      </c>
    </row>
    <row r="75" spans="2:6" s="323" customFormat="1" ht="15" thickBot="1" x14ac:dyDescent="0.45">
      <c r="B75" s="163" t="s">
        <v>1572</v>
      </c>
      <c r="C75" s="214" t="str">
        <f>IF(_chw5&lt;&gt;"",CHW_time_calcs_1!C$57/CHW_time_calcs_1!C$65,"")</f>
        <v/>
      </c>
      <c r="D75" s="214" t="str">
        <f>IF(_chw5&lt;&gt;"",CHW_time_calcs_1!D$57/CHW_time_calcs_1!D$65,"")</f>
        <v/>
      </c>
      <c r="E75" s="214" t="str">
        <f>IF(_chw5&lt;&gt;"",CHW_time_calcs_1!E$57/CHW_time_calcs_1!E$65,"")</f>
        <v/>
      </c>
      <c r="F75" s="214" t="str">
        <f>IF(_chw5&lt;&gt;"",CHW_time_calcs_1!F$57/CHW_time_calcs_1!F$65,"")</f>
        <v/>
      </c>
    </row>
    <row r="76" spans="2:6" s="323" customFormat="1" ht="15" thickBot="1" x14ac:dyDescent="0.45">
      <c r="B76" s="160" t="s">
        <v>99</v>
      </c>
      <c r="C76" s="215">
        <f t="shared" ref="C76:F76" si="5">SUM(C70:C75)</f>
        <v>0</v>
      </c>
      <c r="D76" s="215">
        <f t="shared" si="5"/>
        <v>0</v>
      </c>
      <c r="E76" s="215">
        <f t="shared" si="5"/>
        <v>0</v>
      </c>
      <c r="F76" s="215">
        <f t="shared" si="5"/>
        <v>0</v>
      </c>
    </row>
    <row r="77" spans="2:6" s="323" customFormat="1" x14ac:dyDescent="0.4"/>
    <row r="78" spans="2:6" s="323" customFormat="1" ht="15" thickBot="1" x14ac:dyDescent="0.45">
      <c r="B78" s="324" t="str">
        <f>_chw6&amp;":  % of CHW Time spent on various activities"</f>
        <v>:  % of CHW Time spent on various activities</v>
      </c>
    </row>
    <row r="79" spans="2:6" s="323" customFormat="1" x14ac:dyDescent="0.4">
      <c r="B79" s="164" t="s">
        <v>125</v>
      </c>
      <c r="C79" s="213" t="str">
        <f>IF(_chw6&lt;&gt;"",CHW_time_calcs_1!C$18/CHW_time_calcs_1!C$66,"")</f>
        <v/>
      </c>
      <c r="D79" s="213" t="str">
        <f>IF(_chw6&lt;&gt;"",CHW_time_calcs_1!D$18/CHW_time_calcs_1!D$66,"")</f>
        <v/>
      </c>
      <c r="E79" s="213" t="str">
        <f>IF(_chw6&lt;&gt;"",CHW_time_calcs_1!E$18/CHW_time_calcs_1!E$66,"")</f>
        <v/>
      </c>
      <c r="F79" s="213" t="str">
        <f>IF(_chw6&lt;&gt;"",CHW_time_calcs_1!F$18/CHW_time_calcs_1!F$66,"")</f>
        <v/>
      </c>
    </row>
    <row r="80" spans="2:6" s="323" customFormat="1" x14ac:dyDescent="0.4">
      <c r="B80" s="161" t="s">
        <v>126</v>
      </c>
      <c r="C80" s="214" t="str">
        <f>IF(_chw6&lt;&gt;"",CHW_time_calcs_1!C$26/CHW_time_calcs_1!C$66,"")</f>
        <v/>
      </c>
      <c r="D80" s="214" t="str">
        <f>IF(_chw6&lt;&gt;"",CHW_time_calcs_1!D$26/CHW_time_calcs_1!D$66,"")</f>
        <v/>
      </c>
      <c r="E80" s="214" t="str">
        <f>IF(_chw6&lt;&gt;"",CHW_time_calcs_1!E$26/CHW_time_calcs_1!E$66,"")</f>
        <v/>
      </c>
      <c r="F80" s="214" t="str">
        <f>IF(_chw6&lt;&gt;"",CHW_time_calcs_1!F$26/CHW_time_calcs_1!F$66,"")</f>
        <v/>
      </c>
    </row>
    <row r="81" spans="2:6" s="323" customFormat="1" x14ac:dyDescent="0.4">
      <c r="B81" s="161" t="s">
        <v>127</v>
      </c>
      <c r="C81" s="214" t="str">
        <f>IF(_chw6&lt;&gt;"",CHW_time_calcs_1!C$34/CHW_time_calcs_1!C$66,"")</f>
        <v/>
      </c>
      <c r="D81" s="214" t="str">
        <f>IF(_chw6&lt;&gt;"",CHW_time_calcs_1!D$34/CHW_time_calcs_1!D$66,"")</f>
        <v/>
      </c>
      <c r="E81" s="214" t="str">
        <f>IF(_chw6&lt;&gt;"",CHW_time_calcs_1!E$34/CHW_time_calcs_1!E$66,"")</f>
        <v/>
      </c>
      <c r="F81" s="214" t="str">
        <f>IF(_chw6&lt;&gt;"",CHW_time_calcs_1!F$34/CHW_time_calcs_1!F$66,"")</f>
        <v/>
      </c>
    </row>
    <row r="82" spans="2:6" s="323" customFormat="1" x14ac:dyDescent="0.4">
      <c r="B82" s="161" t="s">
        <v>102</v>
      </c>
      <c r="C82" s="214" t="str">
        <f>IF(_chw6&lt;&gt;"",CHW_time_calcs_1!C$42/CHW_time_calcs_1!C$66,"")</f>
        <v/>
      </c>
      <c r="D82" s="214" t="str">
        <f>IF(_chw6&lt;&gt;"",CHW_time_calcs_1!D$42/CHW_time_calcs_1!D$66,"")</f>
        <v/>
      </c>
      <c r="E82" s="214" t="str">
        <f>IF(_chw6&lt;&gt;"",CHW_time_calcs_1!E$42/CHW_time_calcs_1!E$66,"")</f>
        <v/>
      </c>
      <c r="F82" s="214" t="str">
        <f>IF(_chw6&lt;&gt;"",CHW_time_calcs_1!F$42/CHW_time_calcs_1!F$66,"")</f>
        <v/>
      </c>
    </row>
    <row r="83" spans="2:6" s="323" customFormat="1" x14ac:dyDescent="0.4">
      <c r="B83" s="161" t="s">
        <v>103</v>
      </c>
      <c r="C83" s="214" t="str">
        <f>IF(_chw6&lt;&gt;"",CHW_time_calcs_1!C$50/CHW_time_calcs_1!C$66,"")</f>
        <v/>
      </c>
      <c r="D83" s="214" t="str">
        <f>IF(_chw6&lt;&gt;"",CHW_time_calcs_1!D$50/CHW_time_calcs_1!D$66,"")</f>
        <v/>
      </c>
      <c r="E83" s="214" t="str">
        <f>IF(_chw6&lt;&gt;"",CHW_time_calcs_1!E$50/CHW_time_calcs_1!E$66,"")</f>
        <v/>
      </c>
      <c r="F83" s="214" t="str">
        <f>IF(_chw6&lt;&gt;"",CHW_time_calcs_1!F$50/CHW_time_calcs_1!F$66,"")</f>
        <v/>
      </c>
    </row>
    <row r="84" spans="2:6" s="323" customFormat="1" ht="15" thickBot="1" x14ac:dyDescent="0.45">
      <c r="B84" s="163" t="s">
        <v>1572</v>
      </c>
      <c r="C84" s="214" t="str">
        <f>IF(_chw6&lt;&gt;"",CHW_time_calcs_1!C$58/CHW_time_calcs_1!C$66,"")</f>
        <v/>
      </c>
      <c r="D84" s="214" t="str">
        <f>IF(_chw6&lt;&gt;"",CHW_time_calcs_1!D$58/CHW_time_calcs_1!D$66,"")</f>
        <v/>
      </c>
      <c r="E84" s="214" t="str">
        <f>IF(_chw6&lt;&gt;"",CHW_time_calcs_1!E$58/CHW_time_calcs_1!E$66,"")</f>
        <v/>
      </c>
      <c r="F84" s="214" t="str">
        <f>IF(_chw6&lt;&gt;"",CHW_time_calcs_1!F$58/CHW_time_calcs_1!F$66,"")</f>
        <v/>
      </c>
    </row>
    <row r="85" spans="2:6" s="323" customFormat="1" ht="15" thickBot="1" x14ac:dyDescent="0.45">
      <c r="B85" s="160" t="s">
        <v>99</v>
      </c>
      <c r="C85" s="215">
        <f t="shared" ref="C85:F85" si="6">SUM(C79:C84)</f>
        <v>0</v>
      </c>
      <c r="D85" s="215">
        <f t="shared" si="6"/>
        <v>0</v>
      </c>
      <c r="E85" s="215">
        <f t="shared" si="6"/>
        <v>0</v>
      </c>
      <c r="F85" s="215">
        <f t="shared" si="6"/>
        <v>0</v>
      </c>
    </row>
  </sheetData>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C000"/>
  </sheetPr>
  <dimension ref="A1:Q93"/>
  <sheetViews>
    <sheetView topLeftCell="A29" zoomScale="80" zoomScaleNormal="80" workbookViewId="0">
      <selection activeCell="G38" sqref="G38"/>
    </sheetView>
  </sheetViews>
  <sheetFormatPr defaultColWidth="8.84375" defaultRowHeight="14.6" x14ac:dyDescent="0.4"/>
  <cols>
    <col min="1" max="1" width="2.4609375" customWidth="1"/>
    <col min="2" max="2" width="46.84375" customWidth="1"/>
    <col min="3" max="3" width="9.4609375" customWidth="1"/>
    <col min="4" max="4" width="13.4609375" customWidth="1"/>
    <col min="5" max="5" width="9.4609375" bestFit="1" customWidth="1"/>
    <col min="6" max="6" width="9" bestFit="1" customWidth="1"/>
    <col min="15" max="15" width="10" bestFit="1" customWidth="1"/>
  </cols>
  <sheetData>
    <row r="1" spans="1:11" x14ac:dyDescent="0.4">
      <c r="H1" t="s">
        <v>88</v>
      </c>
      <c r="I1">
        <v>6</v>
      </c>
      <c r="J1" s="323">
        <v>6</v>
      </c>
      <c r="K1" s="323">
        <v>6</v>
      </c>
    </row>
    <row r="2" spans="1:11" x14ac:dyDescent="0.4">
      <c r="H2" t="s">
        <v>89</v>
      </c>
    </row>
    <row r="3" spans="1:11" x14ac:dyDescent="0.4">
      <c r="H3" t="str">
        <f>IF(_chw1&lt;&gt;"",_chw1,"")</f>
        <v/>
      </c>
      <c r="I3">
        <f>'policy interact graph numbers'!BI7/I$1</f>
        <v>0</v>
      </c>
      <c r="J3" s="323">
        <f>'policy interact graph numbers'!BL7/J$1</f>
        <v>0</v>
      </c>
      <c r="K3" s="323">
        <f>'policy interact graph numbers'!BO7/K$1</f>
        <v>0</v>
      </c>
    </row>
    <row r="4" spans="1:11" x14ac:dyDescent="0.4">
      <c r="B4" t="s">
        <v>90</v>
      </c>
      <c r="C4">
        <f>CHW_Numbers!C4</f>
        <v>0</v>
      </c>
      <c r="D4">
        <f>CHW_Numbers!D4</f>
        <v>1</v>
      </c>
      <c r="E4">
        <f>CHW_Numbers!E4</f>
        <v>2</v>
      </c>
      <c r="F4">
        <f>CHW_Numbers!F4</f>
        <v>3</v>
      </c>
      <c r="H4" t="str">
        <f>IF(_chw2&lt;&gt;"",_chw2,"")</f>
        <v/>
      </c>
      <c r="I4" s="323">
        <f>'policy interact graph numbers'!BI8/I$1</f>
        <v>0</v>
      </c>
      <c r="J4" s="323">
        <f>'policy interact graph numbers'!BL8/J$1</f>
        <v>0</v>
      </c>
      <c r="K4" s="323">
        <f>'policy interact graph numbers'!BO8/K$1</f>
        <v>0</v>
      </c>
    </row>
    <row r="5" spans="1:11" x14ac:dyDescent="0.4">
      <c r="A5" t="s">
        <v>91</v>
      </c>
      <c r="B5" t="str">
        <f>IF(_chw1&lt;&gt;"",_chw1,"")</f>
        <v/>
      </c>
      <c r="C5">
        <f>CHW_Numbers!C115*60</f>
        <v>0</v>
      </c>
      <c r="D5">
        <f>CHW_Numbers!D115*60</f>
        <v>0</v>
      </c>
      <c r="E5">
        <f>CHW_Numbers!E115*60</f>
        <v>0</v>
      </c>
      <c r="F5">
        <f>CHW_Numbers!F115*60</f>
        <v>124800</v>
      </c>
      <c r="H5" t="str">
        <f>IF(_chw3&lt;&gt;"",_chw3,"")</f>
        <v/>
      </c>
      <c r="I5" s="323">
        <f>'policy interact graph numbers'!BI9/I$1</f>
        <v>0</v>
      </c>
      <c r="J5" s="323">
        <f>'policy interact graph numbers'!BL9/J$1</f>
        <v>0</v>
      </c>
      <c r="K5" s="323">
        <f>'policy interact graph numbers'!BO9/K$1</f>
        <v>0</v>
      </c>
    </row>
    <row r="6" spans="1:11" x14ac:dyDescent="0.4">
      <c r="A6" t="s">
        <v>91</v>
      </c>
      <c r="B6" t="str">
        <f>IF(_chw2&lt;&gt;"",_chw2,"")</f>
        <v/>
      </c>
      <c r="C6">
        <f>CHW_Numbers!C119*60</f>
        <v>0</v>
      </c>
      <c r="D6">
        <f>CHW_Numbers!D119*60</f>
        <v>0</v>
      </c>
      <c r="E6">
        <f>CHW_Numbers!E119*60</f>
        <v>0</v>
      </c>
      <c r="F6">
        <f>CHW_Numbers!F119*60</f>
        <v>24000</v>
      </c>
      <c r="H6" t="str">
        <f>IF(_chw4&lt;&gt;"",_chw4,"")</f>
        <v/>
      </c>
      <c r="I6" s="323">
        <f>'policy interact graph numbers'!BI10/I$1</f>
        <v>0</v>
      </c>
      <c r="J6" s="323">
        <f>'policy interact graph numbers'!BL10/J$1</f>
        <v>0</v>
      </c>
      <c r="K6" s="323">
        <f>'policy interact graph numbers'!BO10/K$1</f>
        <v>0</v>
      </c>
    </row>
    <row r="7" spans="1:11" x14ac:dyDescent="0.4">
      <c r="A7" t="s">
        <v>91</v>
      </c>
      <c r="B7" t="str">
        <f>IF(_chw3&lt;&gt;"",_chw3,"")</f>
        <v/>
      </c>
      <c r="C7">
        <f>CHW_Numbers!C123*60</f>
        <v>0</v>
      </c>
      <c r="D7">
        <f>CHW_Numbers!D123*60</f>
        <v>0</v>
      </c>
      <c r="E7">
        <f>CHW_Numbers!E123*60</f>
        <v>0</v>
      </c>
      <c r="F7">
        <f>CHW_Numbers!F123*60</f>
        <v>0</v>
      </c>
      <c r="H7" t="str">
        <f>IF(_chw5&lt;&gt;"",_chw5,"")</f>
        <v/>
      </c>
      <c r="I7" s="323">
        <f>'policy interact graph numbers'!BI11/I$1</f>
        <v>0</v>
      </c>
      <c r="J7" s="323">
        <f>'policy interact graph numbers'!BL11/J$1</f>
        <v>0</v>
      </c>
      <c r="K7" s="323">
        <f>'policy interact graph numbers'!BO11/K$1</f>
        <v>0</v>
      </c>
    </row>
    <row r="8" spans="1:11" x14ac:dyDescent="0.4">
      <c r="A8" t="s">
        <v>91</v>
      </c>
      <c r="B8" t="str">
        <f>IF(_chw4&lt;&gt;"",_chw4,"")</f>
        <v/>
      </c>
      <c r="C8">
        <f>CHW_Numbers!C127*60</f>
        <v>0</v>
      </c>
      <c r="D8">
        <f>CHW_Numbers!D127*60</f>
        <v>0</v>
      </c>
      <c r="E8">
        <f>CHW_Numbers!E127*60</f>
        <v>0</v>
      </c>
      <c r="F8">
        <f>CHW_Numbers!F127*60</f>
        <v>0</v>
      </c>
      <c r="H8" t="str">
        <f>IF(_chw6&lt;&gt;"",_chw6,"")</f>
        <v/>
      </c>
      <c r="I8" s="323">
        <f>'policy interact graph numbers'!BI12/I$1</f>
        <v>0</v>
      </c>
      <c r="J8" s="323">
        <f>'policy interact graph numbers'!BL12/J$1</f>
        <v>0</v>
      </c>
      <c r="K8" s="323">
        <f>'policy interact graph numbers'!BO12/K$1</f>
        <v>0</v>
      </c>
    </row>
    <row r="9" spans="1:11" x14ac:dyDescent="0.4">
      <c r="A9" t="s">
        <v>91</v>
      </c>
      <c r="B9" t="str">
        <f>IF(_chw5&lt;&gt;"",_chw5,"")</f>
        <v/>
      </c>
      <c r="C9">
        <f>CHW_Numbers!C131*60</f>
        <v>0</v>
      </c>
      <c r="D9">
        <f>CHW_Numbers!D131*60</f>
        <v>0</v>
      </c>
      <c r="E9">
        <f>CHW_Numbers!E131*60</f>
        <v>0</v>
      </c>
      <c r="F9">
        <f>CHW_Numbers!F131*60</f>
        <v>0</v>
      </c>
    </row>
    <row r="10" spans="1:11" x14ac:dyDescent="0.4">
      <c r="A10" t="s">
        <v>91</v>
      </c>
      <c r="B10" t="str">
        <f>IF(_chw6&lt;&gt;"",_chw6,"")</f>
        <v/>
      </c>
      <c r="C10">
        <f>CHW_Numbers!C135*60</f>
        <v>0</v>
      </c>
      <c r="D10">
        <f>CHW_Numbers!D135*60</f>
        <v>0</v>
      </c>
      <c r="E10">
        <f>CHW_Numbers!E135*60</f>
        <v>0</v>
      </c>
      <c r="F10">
        <f>CHW_Numbers!F135*60</f>
        <v>0</v>
      </c>
    </row>
    <row r="12" spans="1:11" x14ac:dyDescent="0.4">
      <c r="B12" t="s">
        <v>92</v>
      </c>
    </row>
    <row r="13" spans="1:11" x14ac:dyDescent="0.4">
      <c r="A13" t="s">
        <v>91</v>
      </c>
      <c r="B13" t="str">
        <f>IF(_chw1&lt;&gt;"",_chw1,"")</f>
        <v/>
      </c>
      <c r="C13" s="136">
        <f>C5*Summary_CHW!C65</f>
        <v>0</v>
      </c>
      <c r="D13" s="136">
        <f>D5*Summary_CHW!D65</f>
        <v>0</v>
      </c>
      <c r="E13" s="136">
        <f>E5*Summary_CHW!E65</f>
        <v>0</v>
      </c>
      <c r="F13" s="136">
        <f>F5*Summary_CHW!F65</f>
        <v>0</v>
      </c>
    </row>
    <row r="14" spans="1:11" x14ac:dyDescent="0.4">
      <c r="A14" t="s">
        <v>91</v>
      </c>
      <c r="B14" t="str">
        <f>IF(_chw2&lt;&gt;"",_chw2,"")</f>
        <v/>
      </c>
      <c r="C14" s="136">
        <f>C6*Summary_CHW!C66</f>
        <v>0</v>
      </c>
      <c r="D14" s="136">
        <f>D6*Summary_CHW!D66</f>
        <v>0</v>
      </c>
      <c r="E14" s="136">
        <f>E6*Summary_CHW!E66</f>
        <v>0</v>
      </c>
      <c r="F14" s="136">
        <f>F6*Summary_CHW!F66</f>
        <v>0</v>
      </c>
    </row>
    <row r="15" spans="1:11" x14ac:dyDescent="0.4">
      <c r="A15" t="s">
        <v>91</v>
      </c>
      <c r="B15" t="str">
        <f>IF(_chw3&lt;&gt;"",_chw3,"")</f>
        <v/>
      </c>
      <c r="C15" s="136">
        <f>C7*Summary_CHW!C67</f>
        <v>0</v>
      </c>
      <c r="D15" s="136">
        <f>D7*Summary_CHW!D67</f>
        <v>0</v>
      </c>
      <c r="E15" s="136">
        <f>E7*Summary_CHW!E67</f>
        <v>0</v>
      </c>
      <c r="F15" s="136">
        <f>F7*Summary_CHW!F67</f>
        <v>0</v>
      </c>
    </row>
    <row r="16" spans="1:11" x14ac:dyDescent="0.4">
      <c r="A16" t="s">
        <v>91</v>
      </c>
      <c r="B16" t="str">
        <f>IF(_chw4&lt;&gt;"",_chw4,"")</f>
        <v/>
      </c>
      <c r="C16" s="136">
        <f>C8*Summary_CHW!C68</f>
        <v>0</v>
      </c>
      <c r="D16" s="136">
        <f>D8*Summary_CHW!D68</f>
        <v>0</v>
      </c>
      <c r="E16" s="136">
        <f>E8*Summary_CHW!E68</f>
        <v>0</v>
      </c>
      <c r="F16" s="136">
        <f>F8*Summary_CHW!F68</f>
        <v>0</v>
      </c>
    </row>
    <row r="17" spans="1:9" x14ac:dyDescent="0.4">
      <c r="A17" t="s">
        <v>91</v>
      </c>
      <c r="B17" t="str">
        <f>IF(_chw5&lt;&gt;"",_chw5,"")</f>
        <v/>
      </c>
      <c r="C17" s="136">
        <f>C9*Summary_CHW!C69</f>
        <v>0</v>
      </c>
      <c r="D17" s="136">
        <f>D9*Summary_CHW!D69</f>
        <v>0</v>
      </c>
      <c r="E17" s="136">
        <f>E9*Summary_CHW!E69</f>
        <v>0</v>
      </c>
      <c r="F17" s="136">
        <f>F9*Summary_CHW!F69</f>
        <v>0</v>
      </c>
    </row>
    <row r="18" spans="1:9" x14ac:dyDescent="0.4">
      <c r="A18" t="s">
        <v>91</v>
      </c>
      <c r="B18" t="str">
        <f>IF(_chw6&lt;&gt;"",_chw6,"")</f>
        <v/>
      </c>
      <c r="C18" s="136">
        <f>C10*Summary_CHW!C70</f>
        <v>0</v>
      </c>
      <c r="D18" s="136">
        <f>D10*Summary_CHW!D70</f>
        <v>0</v>
      </c>
      <c r="E18" s="136">
        <f>E10*Summary_CHW!E70</f>
        <v>0</v>
      </c>
      <c r="F18" s="136">
        <f>F10*Summary_CHW!F70</f>
        <v>0</v>
      </c>
    </row>
    <row r="20" spans="1:9" x14ac:dyDescent="0.4">
      <c r="B20" t="s">
        <v>93</v>
      </c>
    </row>
    <row r="21" spans="1:9" x14ac:dyDescent="0.4">
      <c r="A21" t="s">
        <v>91</v>
      </c>
      <c r="B21" t="str">
        <f>IF(_chw1&lt;&gt;"",_chw1,"")</f>
        <v/>
      </c>
      <c r="C21" s="136">
        <f>IF('2. CHW Input'!$F$3='CHW drop-downs'!$A$9,IF(Summary_CHW!C7&gt;0,Summary_CHW!C27/(1-Summary_CHW!C$33)*Service_Numbers!Q4/Summary_CHW!C7*'2. CHW Input'!$F12,0),IF('2. CHW Input'!$F$3='CHW drop-downs'!$A$8,'2. CHW Input'!$F12*C5/100,0))</f>
        <v>0</v>
      </c>
      <c r="D21" s="136">
        <f>IF('2. CHW Input'!$F$3='CHW drop-downs'!$A$9,IF(Summary_CHW!D7&gt;0,Summary_CHW!D27/(1-Summary_CHW!D$33)*Service_Numbers!R4/Summary_CHW!D7*'2. CHW Input'!$F12,0),IF('2. CHW Input'!$F$3='CHW drop-downs'!$A$8,'2. CHW Input'!$F12*D5/100,0))</f>
        <v>0</v>
      </c>
      <c r="E21" s="136">
        <f>IF('2. CHW Input'!$F$3='CHW drop-downs'!$A$9,IF(Summary_CHW!E7&gt;0,Summary_CHW!E27/(1-Summary_CHW!E$33)*Service_Numbers!S4/Summary_CHW!E7*'2. CHW Input'!$F12,0),IF('2. CHW Input'!$F$3='CHW drop-downs'!$A$8,'2. CHW Input'!$F12*E5/100,0))</f>
        <v>0</v>
      </c>
      <c r="F21" s="136">
        <f>IF('2. CHW Input'!$F$3='CHW drop-downs'!$A$9,IF(Summary_CHW!F7&gt;0,Summary_CHW!F27/(1-Summary_CHW!F$33)*Service_Numbers!T4/Summary_CHW!F7*'2. CHW Input'!$F12,0),IF('2. CHW Input'!$F$3='CHW drop-downs'!$A$8,'2. CHW Input'!$F12*F5/100,0))</f>
        <v>0</v>
      </c>
      <c r="I21" s="133"/>
    </row>
    <row r="22" spans="1:9" x14ac:dyDescent="0.4">
      <c r="A22" t="s">
        <v>91</v>
      </c>
      <c r="B22" t="str">
        <f>IF(_chw2&lt;&gt;"",_chw2,"")</f>
        <v/>
      </c>
      <c r="C22" s="136">
        <f>IF('2. CHW Input'!$F$3='CHW drop-downs'!$A$9,IF(Summary_CHW!C8&gt;0,Summary_CHW!C28/(1-Summary_CHW!C$33)*Service_Numbers!Q4/Summary_CHW!C8*'2. CHW Input'!$F20,0),IF('2. CHW Input'!$F$3='CHW drop-downs'!$A$8,'2. CHW Input'!$F20*C6/100,0))</f>
        <v>0</v>
      </c>
      <c r="D22" s="136">
        <f>IF('2. CHW Input'!$F$3='CHW drop-downs'!$A$9,IF(Summary_CHW!D8&gt;0,Summary_CHW!D28/(1-Summary_CHW!D$33)*Service_Numbers!R4/Summary_CHW!D8*'2. CHW Input'!$F20,0),IF('2. CHW Input'!$F$3='CHW drop-downs'!$A$8,'2. CHW Input'!$F20*D6/100,0))</f>
        <v>0</v>
      </c>
      <c r="E22" s="136">
        <f>IF('2. CHW Input'!$F$3='CHW drop-downs'!$A$9,IF(Summary_CHW!E8&gt;0,Summary_CHW!E28/(1-Summary_CHW!E$33)*Service_Numbers!S4/Summary_CHW!E8*'2. CHW Input'!$F20,0),IF('2. CHW Input'!$F$3='CHW drop-downs'!$A$8,'2. CHW Input'!$F20*E6/100,0))</f>
        <v>0</v>
      </c>
      <c r="F22" s="136">
        <f>IF('2. CHW Input'!$F$3='CHW drop-downs'!$A$9,IF(Summary_CHW!F8&gt;0,Summary_CHW!F28/(1-Summary_CHW!F$33)*Service_Numbers!T4/Summary_CHW!F8*'2. CHW Input'!$F20,0),IF('2. CHW Input'!$F$3='CHW drop-downs'!$A$8,'2. CHW Input'!$F20*F6/100,0))</f>
        <v>0</v>
      </c>
    </row>
    <row r="23" spans="1:9" x14ac:dyDescent="0.4">
      <c r="A23" t="s">
        <v>91</v>
      </c>
      <c r="B23" t="str">
        <f>IF(_chw3&lt;&gt;"",_chw3,"")</f>
        <v/>
      </c>
      <c r="C23" s="136">
        <f>IF('2. CHW Input'!$F$3='CHW drop-downs'!$A$9,IF(Summary_CHW!C9&gt;0,Summary_CHW!C29/(1-Summary_CHW!C$33)*Service_Numbers!Q4/Summary_CHW!C9*'2. CHW Input'!$F28,0),IF('2. CHW Input'!$F$3='CHW drop-downs'!$A$8,'2. CHW Input'!$F28*C7/100,0))</f>
        <v>0</v>
      </c>
      <c r="D23" s="136">
        <f>IF('2. CHW Input'!$F$3='CHW drop-downs'!$A$9,IF(Summary_CHW!D9&gt;0,Summary_CHW!D29/(1-Summary_CHW!D$33)*Service_Numbers!R4/Summary_CHW!D9*'2. CHW Input'!$F28,0),IF('2. CHW Input'!$F$3='CHW drop-downs'!$A$8,'2. CHW Input'!$F28*D7/100,0))</f>
        <v>0</v>
      </c>
      <c r="E23" s="136">
        <f>IF('2. CHW Input'!$F$3='CHW drop-downs'!$A$9,IF(Summary_CHW!E9&gt;0,Summary_CHW!E29/(1-Summary_CHW!E$33)*Service_Numbers!S4/Summary_CHW!E9*'2. CHW Input'!$F28,0),IF('2. CHW Input'!$F$3='CHW drop-downs'!$A$8,'2. CHW Input'!$F28*E7/100,0))</f>
        <v>0</v>
      </c>
      <c r="F23" s="136">
        <f>IF('2. CHW Input'!$F$3='CHW drop-downs'!$A$9,IF(Summary_CHW!F9&gt;0,Summary_CHW!F29/(1-Summary_CHW!F$33)*Service_Numbers!T4/Summary_CHW!F9*'2. CHW Input'!$F28,0),IF('2. CHW Input'!$F$3='CHW drop-downs'!$A$8,'2. CHW Input'!$F28*F7/100,0))</f>
        <v>0</v>
      </c>
    </row>
    <row r="24" spans="1:9" x14ac:dyDescent="0.4">
      <c r="A24" t="s">
        <v>91</v>
      </c>
      <c r="B24" t="str">
        <f>IF(_chw4&lt;&gt;"",_chw4,"")</f>
        <v/>
      </c>
      <c r="C24" s="136">
        <f>IF('2. CHW Input'!$F$3='CHW drop-downs'!$A$9,IF(Summary_CHW!C10&gt;0,Summary_CHW!C30/(1-Summary_CHW!C$33)*Service_Numbers!Q4/Summary_CHW!C10*'2. CHW Input'!$F36,0),IF('2. CHW Input'!$F$3='CHW drop-downs'!$A$8,'2. CHW Input'!$F36*C8/100,0))</f>
        <v>0</v>
      </c>
      <c r="D24" s="136">
        <f>IF('2. CHW Input'!$F$3='CHW drop-downs'!$A$9,IF(Summary_CHW!D10&gt;0,Summary_CHW!D30/(1-Summary_CHW!D$33)*Service_Numbers!R4/Summary_CHW!D10*'2. CHW Input'!$F36,0),IF('2. CHW Input'!$F$3='CHW drop-downs'!$A$8,'2. CHW Input'!$F36*D8/100,0))</f>
        <v>0</v>
      </c>
      <c r="E24" s="136">
        <f>IF('2. CHW Input'!$F$3='CHW drop-downs'!$A$9,IF(Summary_CHW!E10&gt;0,Summary_CHW!E30/(1-Summary_CHW!E$33)*Service_Numbers!S4/Summary_CHW!E10*'2. CHW Input'!$F36,0),IF('2. CHW Input'!$F$3='CHW drop-downs'!$A$8,'2. CHW Input'!$F36*E8/100,0))</f>
        <v>0</v>
      </c>
      <c r="F24" s="136">
        <f>IF('2. CHW Input'!$F$3='CHW drop-downs'!$A$9,IF(Summary_CHW!F10&gt;0,Summary_CHW!F30/(1-Summary_CHW!F$33)*Service_Numbers!T4/Summary_CHW!F10*'2. CHW Input'!$F36,0),IF('2. CHW Input'!$F$3='CHW drop-downs'!$A$8,'2. CHW Input'!$F36*F8/100,0))</f>
        <v>0</v>
      </c>
    </row>
    <row r="25" spans="1:9" x14ac:dyDescent="0.4">
      <c r="A25" t="s">
        <v>91</v>
      </c>
      <c r="B25" t="str">
        <f>IF(_chw5&lt;&gt;"",_chw5,"")</f>
        <v/>
      </c>
      <c r="C25" s="136">
        <f>IF('2. CHW Input'!$F$3='CHW drop-downs'!$A$9,IF(Summary_CHW!C11&gt;0,Summary_CHW!C31/(1-Summary_CHW!C$33)*Service_Numbers!Q4/Summary_CHW!C11*'2. CHW Input'!$F44,0),IF('2. CHW Input'!$F$3='CHW drop-downs'!$A$8,'2. CHW Input'!$F44*C9/100,0))</f>
        <v>0</v>
      </c>
      <c r="D25" s="136">
        <f>IF('2. CHW Input'!$F$3='CHW drop-downs'!$A$9,IF(Summary_CHW!D11&gt;0,Summary_CHW!D31/(1-Summary_CHW!D$33)*Service_Numbers!R4/Summary_CHW!D11*'2. CHW Input'!$F44,0),IF('2. CHW Input'!$F$3='CHW drop-downs'!$A$8,'2. CHW Input'!$F44*D9/100,0))</f>
        <v>0</v>
      </c>
      <c r="E25" s="136">
        <f>IF('2. CHW Input'!$F$3='CHW drop-downs'!$A$9,IF(Summary_CHW!E11&gt;0,Summary_CHW!E31/(1-Summary_CHW!E$33)*Service_Numbers!S4/Summary_CHW!E11*'2. CHW Input'!$F44,0),IF('2. CHW Input'!$F$3='CHW drop-downs'!$A$8,'2. CHW Input'!$F44*E9/100,0))</f>
        <v>0</v>
      </c>
      <c r="F25" s="136">
        <f>IF('2. CHW Input'!$F$3='CHW drop-downs'!$A$9,IF(Summary_CHW!F11&gt;0,Summary_CHW!F31/(1-Summary_CHW!F$33)*Service_Numbers!T4/Summary_CHW!F11*'2. CHW Input'!$F44,0),IF('2. CHW Input'!$F$3='CHW drop-downs'!$A$8,'2. CHW Input'!$F44*F9/100,0))</f>
        <v>0</v>
      </c>
    </row>
    <row r="26" spans="1:9" x14ac:dyDescent="0.4">
      <c r="A26" t="s">
        <v>91</v>
      </c>
      <c r="B26" t="str">
        <f>IF(_chw6&lt;&gt;"",_chw6,"")</f>
        <v/>
      </c>
      <c r="C26" s="136">
        <f>IF('2. CHW Input'!$F$3='CHW drop-downs'!$A$9,IF(Summary_CHW!C12&gt;0,Summary_CHW!C32/(1-Summary_CHW!C$33)*Service_Numbers!Q4/Summary_CHW!C12*'2. CHW Input'!$F52,0),IF('2. CHW Input'!$F$3='CHW drop-downs'!$A$8,'2. CHW Input'!$F52*C10/100,0))</f>
        <v>0</v>
      </c>
      <c r="D26" s="136">
        <f>IF('2. CHW Input'!$F$3='CHW drop-downs'!$A$9,IF(Summary_CHW!D12&gt;0,Summary_CHW!D32/(1-Summary_CHW!D$33)*Service_Numbers!R4/Summary_CHW!D12*'2. CHW Input'!$F52,0),IF('2. CHW Input'!$F$3='CHW drop-downs'!$A$8,'2. CHW Input'!$F52*D10/100,0))</f>
        <v>0</v>
      </c>
      <c r="E26" s="136">
        <f>IF('2. CHW Input'!$F$3='CHW drop-downs'!$A$9,IF(Summary_CHW!E12&gt;0,Summary_CHW!E32/(1-Summary_CHW!E$33)*Service_Numbers!S4/Summary_CHW!E12*'2. CHW Input'!$F52,0),IF('2. CHW Input'!$F$3='CHW drop-downs'!$A$8,'2. CHW Input'!$F52*E10/100,0))</f>
        <v>0</v>
      </c>
      <c r="F26" s="136">
        <f>IF('2. CHW Input'!$F$3='CHW drop-downs'!$A$9,IF(Summary_CHW!F12&gt;0,Summary_CHW!F32/(1-Summary_CHW!F$33)*Service_Numbers!T4/Summary_CHW!F12*'2. CHW Input'!$F52,0),IF('2. CHW Input'!$F$3='CHW drop-downs'!$A$8,'2. CHW Input'!$F52*F10/100,0))</f>
        <v>0</v>
      </c>
    </row>
    <row r="28" spans="1:9" x14ac:dyDescent="0.4">
      <c r="B28" t="s">
        <v>94</v>
      </c>
    </row>
    <row r="29" spans="1:9" x14ac:dyDescent="0.4">
      <c r="A29" t="s">
        <v>91</v>
      </c>
      <c r="B29" t="str">
        <f>IF(_chw1&lt;&gt;"",_chw1,"")</f>
        <v/>
      </c>
      <c r="C29" s="136">
        <f>IF('2. CHW Input'!$F$4='CHW drop-downs'!$A$3,'2. CHW Input'!$F13/100*C5,IF('2. CHW Input'!$F$4='CHW drop-downs'!$A$4,'2. CHW Input'!$F13*'policy interact graph numbers'!BH7*60,IF('2. CHW Input'!$F$4='CHW drop-downs'!$A$5,'2. CHW Input'!$F13*12*60,0)))</f>
        <v>0</v>
      </c>
      <c r="D29" s="136">
        <f>IF('2. CHW Input'!$F$4='CHW drop-downs'!$A$3,'2. CHW Input'!$F13/100*D5,IF('2. CHW Input'!$F$4='CHW drop-downs'!$A$4,'2. CHW Input'!$F13*'policy interact graph numbers'!BK7*60,IF('2. CHW Input'!$F$4='CHW drop-downs'!$A$5,'2. CHW Input'!$F13*12*60,0)))</f>
        <v>0</v>
      </c>
      <c r="E29" s="136">
        <f>IF('2. CHW Input'!$F$4='CHW drop-downs'!$A$3,'2. CHW Input'!$F13/100*E5,IF('2. CHW Input'!$F$4='CHW drop-downs'!$A$4,'2. CHW Input'!$F13*'policy interact graph numbers'!BN7*60,IF('2. CHW Input'!$F$4='CHW drop-downs'!$A$5,'2. CHW Input'!$F13*12*60,0)))</f>
        <v>0</v>
      </c>
      <c r="F29" s="136">
        <f>IF('2. CHW Input'!$F$4='CHW drop-downs'!$A$3,'2. CHW Input'!$F13/100*F5,IF('2. CHW Input'!$F$4='CHW drop-downs'!$A$4,'2. CHW Input'!$F13*'policy interact graph numbers'!AR6*60,IF('2. CHW Input'!$F$4='CHW drop-downs'!$A$5,'2. CHW Input'!$F13*12*60,0)))</f>
        <v>0</v>
      </c>
    </row>
    <row r="30" spans="1:9" x14ac:dyDescent="0.4">
      <c r="A30" t="s">
        <v>91</v>
      </c>
      <c r="B30" t="str">
        <f>IF(_chw2&lt;&gt;"",_chw2,"")</f>
        <v/>
      </c>
      <c r="C30" s="136">
        <f>IF('2. CHW Input'!$F$4='CHW drop-downs'!$A$3,'2. CHW Input'!$F21/100*C6,IF('2. CHW Input'!$F$4='CHW drop-downs'!$A$4,'2. CHW Input'!$F21*'policy interact graph numbers'!BH8*60,IF('2. CHW Input'!$F$4='CHW drop-downs'!$A$5,'2. CHW Input'!$F21*12*60,0)))</f>
        <v>0</v>
      </c>
      <c r="D30" s="136">
        <f>IF('2. CHW Input'!$F$4='CHW drop-downs'!$A$3,'2. CHW Input'!$F21/100*D6,IF('2. CHW Input'!$F$4='CHW drop-downs'!$A$4,'2. CHW Input'!$F21*'policy interact graph numbers'!BK8*60,IF('2. CHW Input'!$F$4='CHW drop-downs'!$A$5,'2. CHW Input'!$F21*12*60,0)))</f>
        <v>0</v>
      </c>
      <c r="E30" s="136">
        <f>IF('2. CHW Input'!$F$4='CHW drop-downs'!$A$3,'2. CHW Input'!$F21/100*E6,IF('2. CHW Input'!$F$4='CHW drop-downs'!$A$4,'2. CHW Input'!$F21*'policy interact graph numbers'!BN8*60,IF('2. CHW Input'!$F$4='CHW drop-downs'!$A$5,'2. CHW Input'!$F21*12*60,0)))</f>
        <v>0</v>
      </c>
      <c r="F30" s="136">
        <f>IF('2. CHW Input'!$F$4='CHW drop-downs'!$A$3,'2. CHW Input'!$F21/100*F6,IF('2. CHW Input'!$F$4='CHW drop-downs'!$A$4,'2. CHW Input'!$F21*'policy interact graph numbers'!AR7*60,IF('2. CHW Input'!$F$4='CHW drop-downs'!$A$5,'2. CHW Input'!$F21*12*60,0)))</f>
        <v>0</v>
      </c>
    </row>
    <row r="31" spans="1:9" x14ac:dyDescent="0.4">
      <c r="A31" t="s">
        <v>91</v>
      </c>
      <c r="B31" t="str">
        <f>IF(_chw3&lt;&gt;"",_chw3,"")</f>
        <v/>
      </c>
      <c r="C31" s="136">
        <f>IF('2. CHW Input'!$F$4='CHW drop-downs'!$A$3,'2. CHW Input'!$F29/100*C7,IF('2. CHW Input'!$F$4='CHW drop-downs'!$A$4,'2. CHW Input'!$F29*'policy interact graph numbers'!BH9*60,IF('2. CHW Input'!$F$4='CHW drop-downs'!$A$5,'2. CHW Input'!$F29*12*60,0)))</f>
        <v>0</v>
      </c>
      <c r="D31" s="136">
        <f>IF('2. CHW Input'!$F$4='CHW drop-downs'!$A$3,'2. CHW Input'!$F29/100*D7,IF('2. CHW Input'!$F$4='CHW drop-downs'!$A$4,'2. CHW Input'!$F29*'policy interact graph numbers'!BK9*60,IF('2. CHW Input'!$F$4='CHW drop-downs'!$A$5,'2. CHW Input'!$F29*12*60,0)))</f>
        <v>0</v>
      </c>
      <c r="E31" s="136">
        <f>IF('2. CHW Input'!$F$4='CHW drop-downs'!$A$3,'2. CHW Input'!$F29/100*E7,IF('2. CHW Input'!$F$4='CHW drop-downs'!$A$4,'2. CHW Input'!$F29*'policy interact graph numbers'!BN9*60,IF('2. CHW Input'!$F$4='CHW drop-downs'!$A$5,'2. CHW Input'!$F29*12*60,0)))</f>
        <v>0</v>
      </c>
      <c r="F31" s="136">
        <f>IF('2. CHW Input'!$F$4='CHW drop-downs'!$A$3,'2. CHW Input'!$F29/100*F7,IF('2. CHW Input'!$F$4='CHW drop-downs'!$A$4,'2. CHW Input'!$F29*'policy interact graph numbers'!AR8*60,IF('2. CHW Input'!$F$4='CHW drop-downs'!$A$5,'2. CHW Input'!$F29*12*60,0)))</f>
        <v>0</v>
      </c>
    </row>
    <row r="32" spans="1:9" x14ac:dyDescent="0.4">
      <c r="A32" t="s">
        <v>91</v>
      </c>
      <c r="B32" t="str">
        <f>IF(_chw4&lt;&gt;"",_chw4,"")</f>
        <v/>
      </c>
      <c r="C32" s="136">
        <f>IF('2. CHW Input'!$F$4='CHW drop-downs'!$A$3,'2. CHW Input'!$F37/100*C8,IF('2. CHW Input'!$F$4='CHW drop-downs'!$A$4,'2. CHW Input'!$F37*'policy interact graph numbers'!BH10*60,IF('2. CHW Input'!$F$4='CHW drop-downs'!$A$5,'2. CHW Input'!$F37*12*60,0)))</f>
        <v>0</v>
      </c>
      <c r="D32" s="136">
        <f>IF('2. CHW Input'!$F$4='CHW drop-downs'!$A$3,'2. CHW Input'!$F37/100*D8,IF('2. CHW Input'!$F$4='CHW drop-downs'!$A$4,'2. CHW Input'!$F37*'policy interact graph numbers'!BK10*60,IF('2. CHW Input'!$F$4='CHW drop-downs'!$A$5,'2. CHW Input'!$F37*12*60,0)))</f>
        <v>0</v>
      </c>
      <c r="E32" s="136">
        <f>IF('2. CHW Input'!$F$4='CHW drop-downs'!$A$3,'2. CHW Input'!$F37/100*E8,IF('2. CHW Input'!$F$4='CHW drop-downs'!$A$4,'2. CHW Input'!$F37*'policy interact graph numbers'!BN10*60,IF('2. CHW Input'!$F$4='CHW drop-downs'!$A$5,'2. CHW Input'!$F37*12*60,0)))</f>
        <v>0</v>
      </c>
      <c r="F32" s="136">
        <f>IF('2. CHW Input'!$F$4='CHW drop-downs'!$A$3,'2. CHW Input'!$F37/100*F8,IF('2. CHW Input'!$F$4='CHW drop-downs'!$A$4,'2. CHW Input'!$F37*'policy interact graph numbers'!AR9*60,IF('2. CHW Input'!$F$4='CHW drop-downs'!$A$5,'2. CHW Input'!$F37*12*60,0)))</f>
        <v>0</v>
      </c>
    </row>
    <row r="33" spans="1:6" x14ac:dyDescent="0.4">
      <c r="A33" t="s">
        <v>91</v>
      </c>
      <c r="B33" t="str">
        <f>IF(_chw5&lt;&gt;"",_chw5,"")</f>
        <v/>
      </c>
      <c r="C33" s="136">
        <f>IF('2. CHW Input'!$F$4='CHW drop-downs'!$A$3,'2. CHW Input'!$F45/100*C9,IF('2. CHW Input'!$F$4='CHW drop-downs'!$A$4,'2. CHW Input'!$F45*'policy interact graph numbers'!BH11*60,IF('2. CHW Input'!$F$4='CHW drop-downs'!$A$5,'2. CHW Input'!$F45*12*60,0)))</f>
        <v>0</v>
      </c>
      <c r="D33" s="136">
        <f>IF('2. CHW Input'!$F$4='CHW drop-downs'!$A$3,'2. CHW Input'!$F45/100*D9,IF('2. CHW Input'!$F$4='CHW drop-downs'!$A$4,'2. CHW Input'!$F45*'policy interact graph numbers'!BK11*60,IF('2. CHW Input'!$F$4='CHW drop-downs'!$A$5,'2. CHW Input'!$F45*12*60,0)))</f>
        <v>0</v>
      </c>
      <c r="E33" s="136">
        <f>IF('2. CHW Input'!$F$4='CHW drop-downs'!$A$3,'2. CHW Input'!$F45/100*E9,IF('2. CHW Input'!$F$4='CHW drop-downs'!$A$4,'2. CHW Input'!$F45*'policy interact graph numbers'!BN11*60,IF('2. CHW Input'!$F$4='CHW drop-downs'!$A$5,'2. CHW Input'!$F45*12*60,0)))</f>
        <v>0</v>
      </c>
      <c r="F33" s="136">
        <f>IF('2. CHW Input'!$F$4='CHW drop-downs'!$A$3,'2. CHW Input'!$F45/100*F9,IF('2. CHW Input'!$F$4='CHW drop-downs'!$A$4,'2. CHW Input'!$F45*'policy interact graph numbers'!AR10*60,IF('2. CHW Input'!$F$4='CHW drop-downs'!$A$5,'2. CHW Input'!$F45*12*60,0)))</f>
        <v>0</v>
      </c>
    </row>
    <row r="34" spans="1:6" x14ac:dyDescent="0.4">
      <c r="A34" t="s">
        <v>91</v>
      </c>
      <c r="B34" t="str">
        <f>IF(_chw6&lt;&gt;"",_chw6,"")</f>
        <v/>
      </c>
      <c r="C34" s="136">
        <f>IF('2. CHW Input'!$F$4='CHW drop-downs'!$A$3,'2. CHW Input'!$F53/100*C10,IF('2. CHW Input'!$F$4='CHW drop-downs'!$A$4,'2. CHW Input'!$F53*'policy interact graph numbers'!BH12*60,IF('2. CHW Input'!$F$4='CHW drop-downs'!$A$5,'2. CHW Input'!$F53*12*60,0)))</f>
        <v>0</v>
      </c>
      <c r="D34" s="136">
        <f>IF('2. CHW Input'!$F$4='CHW drop-downs'!$A$3,'2. CHW Input'!$F53/100*D10,IF('2. CHW Input'!$F$4='CHW drop-downs'!$A$4,'2. CHW Input'!$F53*'policy interact graph numbers'!BK12*60,IF('2. CHW Input'!$F$4='CHW drop-downs'!$A$5,'2. CHW Input'!$F53*12*60,0)))</f>
        <v>0</v>
      </c>
      <c r="E34" s="136">
        <f>IF('2. CHW Input'!$F$4='CHW drop-downs'!$A$3,'2. CHW Input'!$F53/100*E10,IF('2. CHW Input'!$F$4='CHW drop-downs'!$A$4,'2. CHW Input'!$F53*'policy interact graph numbers'!BN12*60,IF('2. CHW Input'!$F$4='CHW drop-downs'!$A$5,'2. CHW Input'!$F53*12*60,0)))</f>
        <v>0</v>
      </c>
      <c r="F34" s="136">
        <f>IF('2. CHW Input'!$F$4='CHW drop-downs'!$A$3,'2. CHW Input'!$F53/100*F10,IF('2. CHW Input'!$F$4='CHW drop-downs'!$A$4,'2. CHW Input'!$F53*'policy interact graph numbers'!AR11*60,IF('2. CHW Input'!$F$4='CHW drop-downs'!$A$5,'2. CHW Input'!$F53*12*60,0)))</f>
        <v>0</v>
      </c>
    </row>
    <row r="36" spans="1:6" x14ac:dyDescent="0.4">
      <c r="B36" t="s">
        <v>95</v>
      </c>
    </row>
    <row r="37" spans="1:6" x14ac:dyDescent="0.4">
      <c r="A37" t="s">
        <v>91</v>
      </c>
      <c r="B37" t="str">
        <f>IF(_chw1&lt;&gt;"",_chw1,"")</f>
        <v/>
      </c>
      <c r="C37" s="136">
        <f>'2. CHW Input'!$F14*I3*60</f>
        <v>0</v>
      </c>
      <c r="D37" s="136">
        <f>'2. CHW Input'!$F14*J3*60</f>
        <v>0</v>
      </c>
      <c r="E37" s="136">
        <f>'2. CHW Input'!$F14*K3*60</f>
        <v>0</v>
      </c>
      <c r="F37" s="136">
        <f>'2. CHW Input'!$F14*L3*60</f>
        <v>0</v>
      </c>
    </row>
    <row r="38" spans="1:6" x14ac:dyDescent="0.4">
      <c r="A38" t="s">
        <v>91</v>
      </c>
      <c r="B38" t="str">
        <f>IF(_chw2&lt;&gt;"",_chw2,"")</f>
        <v/>
      </c>
      <c r="C38" s="136">
        <f>'2. CHW Input'!$F15*I4*60</f>
        <v>0</v>
      </c>
      <c r="D38" s="136">
        <f>'2. CHW Input'!$F15*J4*60</f>
        <v>0</v>
      </c>
      <c r="E38" s="136">
        <f>'2. CHW Input'!$F15*K4*60</f>
        <v>0</v>
      </c>
      <c r="F38" s="136">
        <f>'2. CHW Input'!$F15*L4*60</f>
        <v>0</v>
      </c>
    </row>
    <row r="39" spans="1:6" x14ac:dyDescent="0.4">
      <c r="A39" t="s">
        <v>91</v>
      </c>
      <c r="B39" t="str">
        <f>IF(_chw3&lt;&gt;"",_chw3,"")</f>
        <v/>
      </c>
      <c r="C39" s="136">
        <f>'2. CHW Input'!$F30*I5*60</f>
        <v>0</v>
      </c>
      <c r="D39" s="136">
        <f>'2. CHW Input'!$F30*J5*60</f>
        <v>0</v>
      </c>
      <c r="E39" s="136">
        <f>'2. CHW Input'!$F30*K5*60</f>
        <v>0</v>
      </c>
      <c r="F39" s="136">
        <f>'2. CHW Input'!$F30*L5*60</f>
        <v>0</v>
      </c>
    </row>
    <row r="40" spans="1:6" x14ac:dyDescent="0.4">
      <c r="A40" t="s">
        <v>91</v>
      </c>
      <c r="B40" t="str">
        <f>IF(_chw4&lt;&gt;"",_chw4,"")</f>
        <v/>
      </c>
      <c r="C40" s="136">
        <f>'2. CHW Input'!$F38*I6*60</f>
        <v>0</v>
      </c>
      <c r="D40" s="136">
        <f>'2. CHW Input'!$F38*J6*60</f>
        <v>0</v>
      </c>
      <c r="E40" s="136">
        <f>'2. CHW Input'!$F38*K6*60</f>
        <v>0</v>
      </c>
      <c r="F40" s="136">
        <f>'2. CHW Input'!$F38*L6*60</f>
        <v>0</v>
      </c>
    </row>
    <row r="41" spans="1:6" x14ac:dyDescent="0.4">
      <c r="A41" t="s">
        <v>91</v>
      </c>
      <c r="B41" t="str">
        <f>IF(_chw5&lt;&gt;"",_chw5,"")</f>
        <v/>
      </c>
      <c r="C41" s="136">
        <f>'2. CHW Input'!$F46*I7*60</f>
        <v>0</v>
      </c>
      <c r="D41" s="136">
        <f>'2. CHW Input'!$F46*J7*60</f>
        <v>0</v>
      </c>
      <c r="E41" s="136">
        <f>'2. CHW Input'!$F46*K7*60</f>
        <v>0</v>
      </c>
      <c r="F41" s="136">
        <f>'2. CHW Input'!$F46*L7*60</f>
        <v>0</v>
      </c>
    </row>
    <row r="42" spans="1:6" x14ac:dyDescent="0.4">
      <c r="A42" t="s">
        <v>91</v>
      </c>
      <c r="B42" t="str">
        <f>IF(_chw6&lt;&gt;"",_chw6,"")</f>
        <v/>
      </c>
      <c r="C42" s="136">
        <f>'2. CHW Input'!$F54*I8*60</f>
        <v>0</v>
      </c>
      <c r="D42" s="136">
        <f>'2. CHW Input'!$F54*J8*60</f>
        <v>0</v>
      </c>
      <c r="E42" s="136">
        <f>'2. CHW Input'!$F54*K8*60</f>
        <v>0</v>
      </c>
      <c r="F42" s="136">
        <f>'2. CHW Input'!$F54*L8*60</f>
        <v>0</v>
      </c>
    </row>
    <row r="44" spans="1:6" x14ac:dyDescent="0.4">
      <c r="B44" t="s">
        <v>96</v>
      </c>
    </row>
    <row r="45" spans="1:6" x14ac:dyDescent="0.4">
      <c r="A45" t="s">
        <v>91</v>
      </c>
      <c r="B45" t="str">
        <f>IF(_chw1&lt;&gt;"",_chw1,"")</f>
        <v/>
      </c>
      <c r="C45" s="136">
        <f>'2. CHW Input'!$F15*CHW_time_calcs_1!I3*60</f>
        <v>0</v>
      </c>
      <c r="D45" s="136">
        <f>'2. CHW Input'!$F15*CHW_time_calcs_1!J3*60</f>
        <v>0</v>
      </c>
      <c r="E45" s="136">
        <f>'2. CHW Input'!$F15*CHW_time_calcs_1!K3*60</f>
        <v>0</v>
      </c>
      <c r="F45" s="136">
        <f>'2. CHW Input'!$F15*CHW_time_calcs_1!L3*60</f>
        <v>0</v>
      </c>
    </row>
    <row r="46" spans="1:6" x14ac:dyDescent="0.4">
      <c r="A46" t="s">
        <v>91</v>
      </c>
      <c r="B46" t="str">
        <f>IF(_chw2&lt;&gt;"",_chw2,"")</f>
        <v/>
      </c>
      <c r="C46" s="136">
        <f>'2. CHW Input'!$F23*CHW_time_calcs_1!I4*60</f>
        <v>0</v>
      </c>
      <c r="D46" s="136">
        <f>'2. CHW Input'!$F23*CHW_time_calcs_1!J4*60</f>
        <v>0</v>
      </c>
      <c r="E46" s="136">
        <f>'2. CHW Input'!$F23*CHW_time_calcs_1!K4*60</f>
        <v>0</v>
      </c>
      <c r="F46" s="136">
        <f>'2. CHW Input'!$F23*CHW_time_calcs_1!L4*60</f>
        <v>0</v>
      </c>
    </row>
    <row r="47" spans="1:6" x14ac:dyDescent="0.4">
      <c r="A47" t="s">
        <v>91</v>
      </c>
      <c r="B47" t="str">
        <f>IF(_chw3&lt;&gt;"",_chw3,"")</f>
        <v/>
      </c>
      <c r="C47" s="136">
        <f>'2. CHW Input'!$F31*CHW_time_calcs_1!I5*60</f>
        <v>0</v>
      </c>
      <c r="D47" s="136">
        <f>'2. CHW Input'!$F31*CHW_time_calcs_1!J5*60</f>
        <v>0</v>
      </c>
      <c r="E47" s="136">
        <f>'2. CHW Input'!$F31*CHW_time_calcs_1!K5*60</f>
        <v>0</v>
      </c>
      <c r="F47" s="136">
        <f>'2. CHW Input'!$F31*CHW_time_calcs_1!L5*60</f>
        <v>0</v>
      </c>
    </row>
    <row r="48" spans="1:6" x14ac:dyDescent="0.4">
      <c r="A48" t="s">
        <v>91</v>
      </c>
      <c r="B48" t="str">
        <f>IF(_chw4&lt;&gt;"",_chw4,"")</f>
        <v/>
      </c>
      <c r="C48" s="136">
        <f>'2. CHW Input'!$F39*CHW_time_calcs_1!I6*60</f>
        <v>0</v>
      </c>
      <c r="D48" s="136">
        <f>'2. CHW Input'!$F39*CHW_time_calcs_1!J6*60</f>
        <v>0</v>
      </c>
      <c r="E48" s="136">
        <f>'2. CHW Input'!$F39*CHW_time_calcs_1!K6*60</f>
        <v>0</v>
      </c>
      <c r="F48" s="136">
        <f>'2. CHW Input'!$F39*CHW_time_calcs_1!L6*60</f>
        <v>0</v>
      </c>
    </row>
    <row r="49" spans="1:17" x14ac:dyDescent="0.4">
      <c r="A49" t="s">
        <v>91</v>
      </c>
      <c r="B49" t="str">
        <f>IF(_chw5&lt;&gt;"",_chw5,"")</f>
        <v/>
      </c>
      <c r="C49" s="136">
        <f>'2. CHW Input'!$F47*CHW_time_calcs_1!I7*60</f>
        <v>0</v>
      </c>
      <c r="D49" s="136">
        <f>'2. CHW Input'!$F47*CHW_time_calcs_1!J7*60</f>
        <v>0</v>
      </c>
      <c r="E49" s="136">
        <f>'2. CHW Input'!$F47*CHW_time_calcs_1!K7*60</f>
        <v>0</v>
      </c>
      <c r="F49" s="136">
        <f>'2. CHW Input'!$F47*CHW_time_calcs_1!L7*60</f>
        <v>0</v>
      </c>
    </row>
    <row r="50" spans="1:17" x14ac:dyDescent="0.4">
      <c r="A50" t="s">
        <v>91</v>
      </c>
      <c r="B50" t="str">
        <f>IF(_chw6&lt;&gt;"",_chw6,"")</f>
        <v/>
      </c>
      <c r="C50" s="136">
        <f>'2. CHW Input'!$F55*CHW_time_calcs_1!I8*60</f>
        <v>0</v>
      </c>
      <c r="D50" s="136">
        <f>'2. CHW Input'!$F55*CHW_time_calcs_1!J8*60</f>
        <v>0</v>
      </c>
      <c r="E50" s="136">
        <f>'2. CHW Input'!$F55*CHW_time_calcs_1!K8*60</f>
        <v>0</v>
      </c>
      <c r="F50" s="136">
        <f>'2. CHW Input'!$F55*CHW_time_calcs_1!L8*60</f>
        <v>0</v>
      </c>
    </row>
    <row r="51" spans="1:17" x14ac:dyDescent="0.4">
      <c r="N51" t="s">
        <v>1030</v>
      </c>
    </row>
    <row r="52" spans="1:17" x14ac:dyDescent="0.4">
      <c r="B52" t="s">
        <v>97</v>
      </c>
      <c r="N52" t="s">
        <v>1028</v>
      </c>
    </row>
    <row r="53" spans="1:17" x14ac:dyDescent="0.4">
      <c r="A53" t="s">
        <v>91</v>
      </c>
      <c r="B53" t="str">
        <f>IF(_chw1&lt;&gt;"",_chw1,"")</f>
        <v/>
      </c>
      <c r="C53" s="316">
        <f>IF('2. CHW Input'!$F$7='CHW drop-downs'!$A$19,'2. CHW Input'!$F16*N53*I3*60,IF('2. CHW Input'!$F$7='CHW drop-downs'!$A$20,'2. CHW Input'!$F16*60*N53,IF('2. CHW Input'!$F$7='CHW drop-downs'!$A$21,'2. CHW Input'!$F16*12*60*I3,IF('2. CHW Input'!$F$7='CHW drop-downs'!$A$22,'2. CHW Input'!$F16*12*60,IF('2. CHW Input'!$F$7='CHW drop-downs'!$A$23,'2. CHW Input'!$F16*C5/100,0)))))</f>
        <v>0</v>
      </c>
      <c r="D53" s="316">
        <f>IF('2. CHW Input'!$F$7='CHW drop-downs'!$A$19,'2. CHW Input'!$F16*O53*J3*60,IF('2. CHW Input'!$F$7='CHW drop-downs'!$A$20,'2. CHW Input'!$F16*60*O53,IF('2. CHW Input'!$F$7='CHW drop-downs'!$A$21,'2. CHW Input'!$F16*12*60*J3,IF('2. CHW Input'!$F$7='CHW drop-downs'!$A$22,'2. CHW Input'!$F16*12*60,IF('2. CHW Input'!$F$7='CHW drop-downs'!$A$23,'2. CHW Input'!$F16*D5/100,0)))))</f>
        <v>0</v>
      </c>
      <c r="E53" s="316">
        <f>IF('2. CHW Input'!$F$7='CHW drop-downs'!$A$19,'2. CHW Input'!$F16*P53*K3*60,IF('2. CHW Input'!$F$7='CHW drop-downs'!$A$20,'2. CHW Input'!$F16*60*P53,IF('2. CHW Input'!$F$7='CHW drop-downs'!$A$21,'2. CHW Input'!$F16*12*60*K3,IF('2. CHW Input'!$F$7='CHW drop-downs'!$A$22,'2. CHW Input'!$F16*12*60,IF('2. CHW Input'!$F$7='CHW drop-downs'!$A$23,'2. CHW Input'!$F16*E5/100,0)))))</f>
        <v>0</v>
      </c>
      <c r="F53" s="316">
        <f>IF('2. CHW Input'!$F$7='CHW drop-downs'!$A$19,'2. CHW Input'!$F16*Q53*L3*60,IF('2. CHW Input'!$F$7='CHW drop-downs'!$A$20,'2. CHW Input'!$F16*60*Q53,IF('2. CHW Input'!$F$7='CHW drop-downs'!$A$21,'2. CHW Input'!$F16*12*60*L3,IF('2. CHW Input'!$F$7='CHW drop-downs'!$A$22,'2. CHW Input'!$F16*12*60,IF('2. CHW Input'!$F$7='CHW drop-downs'!$A$23,'2. CHW Input'!$F16*F5/100,0)))))</f>
        <v>0</v>
      </c>
      <c r="N53">
        <f>'policy interact graph numbers'!BH7</f>
        <v>0</v>
      </c>
      <c r="O53">
        <f>'policy interact graph numbers'!BK7</f>
        <v>0</v>
      </c>
      <c r="P53">
        <f>'policy interact graph numbers'!BN7</f>
        <v>0</v>
      </c>
      <c r="Q53">
        <f>'policy interact graph numbers'!AR6</f>
        <v>52</v>
      </c>
    </row>
    <row r="54" spans="1:17" x14ac:dyDescent="0.4">
      <c r="A54" t="s">
        <v>91</v>
      </c>
      <c r="B54" t="str">
        <f>IF(_chw2&lt;&gt;"",_chw2,"")</f>
        <v/>
      </c>
      <c r="C54" s="316">
        <f>IF('2. CHW Input'!$F$7='CHW drop-downs'!$A$19,'2. CHW Input'!$F24*N54*I4*60,IF('2. CHW Input'!$F$7='CHW drop-downs'!$A$20,'2. CHW Input'!$F24*60*N54,IF('2. CHW Input'!$F$7='CHW drop-downs'!$A$21,'2. CHW Input'!$F24*12*60*I4,IF('2. CHW Input'!$F$7='CHW drop-downs'!$A$22,'2. CHW Input'!$F24*12*60,IF('2. CHW Input'!$F$7='CHW drop-downs'!$A$23,'2. CHW Input'!$F24*C5/100,0)))))</f>
        <v>0</v>
      </c>
      <c r="D54" s="316">
        <f>IF('2. CHW Input'!$F$7='CHW drop-downs'!$A$19,'2. CHW Input'!$F24*O54*J4*60,IF('2. CHW Input'!$F$7='CHW drop-downs'!$A$20,'2. CHW Input'!$F24*60*O54,IF('2. CHW Input'!$F$7='CHW drop-downs'!$A$21,'2. CHW Input'!$F24*12*60*J4,IF('2. CHW Input'!$F$7='CHW drop-downs'!$A$22,'2. CHW Input'!$F24*12*60,IF('2. CHW Input'!$F$7='CHW drop-downs'!$A$23,'2. CHW Input'!$F24*D5/100,0)))))</f>
        <v>0</v>
      </c>
      <c r="E54" s="316">
        <f>IF('2. CHW Input'!$F$7='CHW drop-downs'!$A$19,'2. CHW Input'!$F24*P54*K4*60,IF('2. CHW Input'!$F$7='CHW drop-downs'!$A$20,'2. CHW Input'!$F24*60*P54,IF('2. CHW Input'!$F$7='CHW drop-downs'!$A$21,'2. CHW Input'!$F24*12*60*K4,IF('2. CHW Input'!$F$7='CHW drop-downs'!$A$22,'2. CHW Input'!$F24*12*60,IF('2. CHW Input'!$F$7='CHW drop-downs'!$A$23,'2. CHW Input'!$F24*E5/100,0)))))</f>
        <v>0</v>
      </c>
      <c r="F54" s="316">
        <f>IF('2. CHW Input'!$F$7='CHW drop-downs'!$A$19,'2. CHW Input'!$F24*Q54*L4*60,IF('2. CHW Input'!$F$7='CHW drop-downs'!$A$20,'2. CHW Input'!$F24*60*Q54,IF('2. CHW Input'!$F$7='CHW drop-downs'!$A$21,'2. CHW Input'!$F24*12*60*L4,IF('2. CHW Input'!$F$7='CHW drop-downs'!$A$22,'2. CHW Input'!$F24*12*60,IF('2. CHW Input'!$F$7='CHW drop-downs'!$A$23,'2. CHW Input'!$F24*F5/100,0)))))</f>
        <v>0</v>
      </c>
      <c r="N54">
        <f>'policy interact graph numbers'!BH8</f>
        <v>0</v>
      </c>
      <c r="O54">
        <f>'policy interact graph numbers'!BK8</f>
        <v>0</v>
      </c>
      <c r="P54">
        <f>'policy interact graph numbers'!BN8</f>
        <v>0</v>
      </c>
      <c r="Q54">
        <f>'policy interact graph numbers'!AR7</f>
        <v>10</v>
      </c>
    </row>
    <row r="55" spans="1:17" x14ac:dyDescent="0.4">
      <c r="A55" t="s">
        <v>91</v>
      </c>
      <c r="B55" t="str">
        <f>IF(_chw3&lt;&gt;"",_chw3,"")</f>
        <v/>
      </c>
      <c r="C55" s="316">
        <f>IF('2. CHW Input'!$F$7='CHW drop-downs'!$A$19,'2. CHW Input'!$F32*N55*I5*60,IF('2. CHW Input'!$F$7='CHW drop-downs'!$A$20,'2. CHW Input'!$F32*60*N55,IF('2. CHW Input'!$F$7='CHW drop-downs'!$A$21,'2. CHW Input'!$F32*12*60*I5,IF('2. CHW Input'!$F$7='CHW drop-downs'!$A$22,'2. CHW Input'!$F32*12*60,IF('2. CHW Input'!$F$7='CHW drop-downs'!$A$23,'2. CHW Input'!$F32*C5/100,0)))))</f>
        <v>0</v>
      </c>
      <c r="D55" s="316">
        <f>IF('2. CHW Input'!$F$7='CHW drop-downs'!$A$19,'2. CHW Input'!$F32*O55*J5*60,IF('2. CHW Input'!$F$7='CHW drop-downs'!$A$20,'2. CHW Input'!$F32*60*O55,IF('2. CHW Input'!$F$7='CHW drop-downs'!$A$21,'2. CHW Input'!$F32*12*60*J5,IF('2. CHW Input'!$F$7='CHW drop-downs'!$A$22,'2. CHW Input'!$F32*12*60,IF('2. CHW Input'!$F$7='CHW drop-downs'!$A$23,'2. CHW Input'!$F32*D5/100,0)))))</f>
        <v>0</v>
      </c>
      <c r="E55" s="316">
        <f>IF('2. CHW Input'!$F$7='CHW drop-downs'!$A$19,'2. CHW Input'!$F32*P55*K5*60,IF('2. CHW Input'!$F$7='CHW drop-downs'!$A$20,'2. CHW Input'!$F32*60*P55,IF('2. CHW Input'!$F$7='CHW drop-downs'!$A$21,'2. CHW Input'!$F32*12*60*K5,IF('2. CHW Input'!$F$7='CHW drop-downs'!$A$22,'2. CHW Input'!$F32*12*60,IF('2. CHW Input'!$F$7='CHW drop-downs'!$A$23,'2. CHW Input'!$F32*E5/100,0)))))</f>
        <v>0</v>
      </c>
      <c r="F55" s="316">
        <f>IF('2. CHW Input'!$F$7='CHW drop-downs'!$A$19,'2. CHW Input'!$F32*Q55*L5*60,IF('2. CHW Input'!$F$7='CHW drop-downs'!$A$20,'2. CHW Input'!$F32*60*Q55,IF('2. CHW Input'!$F$7='CHW drop-downs'!$A$21,'2. CHW Input'!$F32*12*60*L5,IF('2. CHW Input'!$F$7='CHW drop-downs'!$A$22,'2. CHW Input'!$F32*12*60,IF('2. CHW Input'!$F$7='CHW drop-downs'!$A$23,'2. CHW Input'!$F32*F5/100,0)))))</f>
        <v>0</v>
      </c>
      <c r="N55">
        <f>'policy interact graph numbers'!BH9</f>
        <v>0</v>
      </c>
      <c r="O55">
        <f>'policy interact graph numbers'!BK9</f>
        <v>0</v>
      </c>
      <c r="P55">
        <f>'policy interact graph numbers'!BN9</f>
        <v>0</v>
      </c>
      <c r="Q55">
        <f>'policy interact graph numbers'!AR8</f>
        <v>0</v>
      </c>
    </row>
    <row r="56" spans="1:17" x14ac:dyDescent="0.4">
      <c r="A56" t="s">
        <v>91</v>
      </c>
      <c r="B56" t="str">
        <f>IF(_chw4&lt;&gt;"",_chw4,"")</f>
        <v/>
      </c>
      <c r="C56" s="316">
        <f>IF('2. CHW Input'!$F$7='CHW drop-downs'!$A$19,'2. CHW Input'!$F40*N56*I6*60,IF('2. CHW Input'!$F$7='CHW drop-downs'!$A$20,'2. CHW Input'!$F40*60*N56,IF('2. CHW Input'!$F$7='CHW drop-downs'!$A$21,'2. CHW Input'!$F40*12*60*I6,IF('2. CHW Input'!$F$7='CHW drop-downs'!$A$22,'2. CHW Input'!$F40*12*60,IF('2. CHW Input'!$F$7='CHW drop-downs'!$A$23,'2. CHW Input'!$F40*C5/100,0)))))</f>
        <v>0</v>
      </c>
      <c r="D56" s="316">
        <f>IF('2. CHW Input'!$F$7='CHW drop-downs'!$A$19,'2. CHW Input'!$F40*O56*J6*60,IF('2. CHW Input'!$F$7='CHW drop-downs'!$A$20,'2. CHW Input'!$F40*60*O56,IF('2. CHW Input'!$F$7='CHW drop-downs'!$A$21,'2. CHW Input'!$F40*12*60*J6,IF('2. CHW Input'!$F$7='CHW drop-downs'!$A$22,'2. CHW Input'!$F40*12*60,IF('2. CHW Input'!$F$7='CHW drop-downs'!$A$23,'2. CHW Input'!$F40*D5/100,0)))))</f>
        <v>0</v>
      </c>
      <c r="E56" s="316">
        <f>IF('2. CHW Input'!$F$7='CHW drop-downs'!$A$19,'2. CHW Input'!$F40*P56*K6*60,IF('2. CHW Input'!$F$7='CHW drop-downs'!$A$20,'2. CHW Input'!$F40*60*P56,IF('2. CHW Input'!$F$7='CHW drop-downs'!$A$21,'2. CHW Input'!$F40*12*60*K6,IF('2. CHW Input'!$F$7='CHW drop-downs'!$A$22,'2. CHW Input'!$F40*12*60,IF('2. CHW Input'!$F$7='CHW drop-downs'!$A$23,'2. CHW Input'!$F40*E5/100,0)))))</f>
        <v>0</v>
      </c>
      <c r="F56" s="316">
        <f>IF('2. CHW Input'!$F$7='CHW drop-downs'!$A$19,'2. CHW Input'!$F40*Q56*L6*60,IF('2. CHW Input'!$F$7='CHW drop-downs'!$A$20,'2. CHW Input'!$F40*60*Q56,IF('2. CHW Input'!$F$7='CHW drop-downs'!$A$21,'2. CHW Input'!$F40*12*60*L6,IF('2. CHW Input'!$F$7='CHW drop-downs'!$A$22,'2. CHW Input'!$F40*12*60,IF('2. CHW Input'!$F$7='CHW drop-downs'!$A$23,'2. CHW Input'!$F40*F5/100,0)))))</f>
        <v>0</v>
      </c>
      <c r="N56">
        <f>'policy interact graph numbers'!BH10</f>
        <v>0</v>
      </c>
      <c r="O56">
        <f>'policy interact graph numbers'!BK10</f>
        <v>0</v>
      </c>
      <c r="P56">
        <f>'policy interact graph numbers'!BN10</f>
        <v>0</v>
      </c>
      <c r="Q56">
        <f>'policy interact graph numbers'!AR9</f>
        <v>0</v>
      </c>
    </row>
    <row r="57" spans="1:17" x14ac:dyDescent="0.4">
      <c r="A57" t="s">
        <v>91</v>
      </c>
      <c r="B57" t="str">
        <f>IF(_chw5&lt;&gt;"",_chw5,"")</f>
        <v/>
      </c>
      <c r="C57" s="316">
        <f>IF('2. CHW Input'!$F$7='CHW drop-downs'!$A$19,'2. CHW Input'!$F48*N57*I7*60,IF('2. CHW Input'!$F$7='CHW drop-downs'!$A$20,'2. CHW Input'!$F48*60*N57,IF('2. CHW Input'!$F$7='CHW drop-downs'!$A$21,'2. CHW Input'!$F48*12*60*I7,IF('2. CHW Input'!$F$7='CHW drop-downs'!$A$22,'2. CHW Input'!$F48*12*60,IF('2. CHW Input'!$F$7='CHW drop-downs'!$A$23,'2. CHW Input'!$F48*C5/100,0)))))</f>
        <v>0</v>
      </c>
      <c r="D57" s="316">
        <f>IF('2. CHW Input'!$F$7='CHW drop-downs'!$A$19,'2. CHW Input'!$F48*O57*J7*60,IF('2. CHW Input'!$F$7='CHW drop-downs'!$A$20,'2. CHW Input'!$F48*60*O57,IF('2. CHW Input'!$F$7='CHW drop-downs'!$A$21,'2. CHW Input'!$F48*12*60*J7,IF('2. CHW Input'!$F$7='CHW drop-downs'!$A$22,'2. CHW Input'!$F48*12*60,IF('2. CHW Input'!$F$7='CHW drop-downs'!$A$23,'2. CHW Input'!$F48*D5/100,0)))))</f>
        <v>0</v>
      </c>
      <c r="E57" s="316">
        <f>IF('2. CHW Input'!$F$7='CHW drop-downs'!$A$19,'2. CHW Input'!$F48*P57*K7*60,IF('2. CHW Input'!$F$7='CHW drop-downs'!$A$20,'2. CHW Input'!$F48*60*P57,IF('2. CHW Input'!$F$7='CHW drop-downs'!$A$21,'2. CHW Input'!$F48*12*60*K7,IF('2. CHW Input'!$F$7='CHW drop-downs'!$A$22,'2. CHW Input'!$F48*12*60,IF('2. CHW Input'!$F$7='CHW drop-downs'!$A$23,'2. CHW Input'!$F48*E5/100,0)))))</f>
        <v>0</v>
      </c>
      <c r="F57" s="316">
        <f>IF('2. CHW Input'!$F$7='CHW drop-downs'!$A$19,'2. CHW Input'!$F48*Q57*L7*60,IF('2. CHW Input'!$F$7='CHW drop-downs'!$A$20,'2. CHW Input'!$F48*60*Q57,IF('2. CHW Input'!$F$7='CHW drop-downs'!$A$21,'2. CHW Input'!$F48*12*60*L7,IF('2. CHW Input'!$F$7='CHW drop-downs'!$A$22,'2. CHW Input'!$F48*12*60,IF('2. CHW Input'!$F$7='CHW drop-downs'!$A$23,'2. CHW Input'!$F48*F5/100,0)))))</f>
        <v>0</v>
      </c>
      <c r="N57">
        <f>'policy interact graph numbers'!BH11</f>
        <v>0</v>
      </c>
      <c r="O57">
        <f>'policy interact graph numbers'!BK11</f>
        <v>0</v>
      </c>
      <c r="P57">
        <f>'policy interact graph numbers'!BN11</f>
        <v>0</v>
      </c>
      <c r="Q57">
        <f>'policy interact graph numbers'!AR10</f>
        <v>0</v>
      </c>
    </row>
    <row r="58" spans="1:17" x14ac:dyDescent="0.4">
      <c r="A58" t="s">
        <v>91</v>
      </c>
      <c r="B58" t="str">
        <f>IF(_chw6&lt;&gt;"",_chw6,"")</f>
        <v/>
      </c>
      <c r="C58" s="316">
        <f>IF('2. CHW Input'!$F$7='CHW drop-downs'!$A$19,'2. CHW Input'!$F56*N58*I8*60,IF('2. CHW Input'!$F$7='CHW drop-downs'!$A$20,'2. CHW Input'!$F56*60*N58,IF('2. CHW Input'!$F$7='CHW drop-downs'!$A$21,'2. CHW Input'!$F56*12*60*I8,IF('2. CHW Input'!$F$7='CHW drop-downs'!$A$22,'2. CHW Input'!$F56*12*60,IF('2. CHW Input'!$F$7='CHW drop-downs'!$A$23,'2. CHW Input'!$F56*C5/100,0)))))</f>
        <v>0</v>
      </c>
      <c r="D58" s="316">
        <f>IF('2. CHW Input'!$F$7='CHW drop-downs'!$A$19,'2. CHW Input'!$F56*O58*J8*60,IF('2. CHW Input'!$F$7='CHW drop-downs'!$A$20,'2. CHW Input'!$F56*60*O58,IF('2. CHW Input'!$F$7='CHW drop-downs'!$A$21,'2. CHW Input'!$F56*12*60*J8,IF('2. CHW Input'!$F$7='CHW drop-downs'!$A$22,'2. CHW Input'!$F56*12*60,IF('2. CHW Input'!$F$7='CHW drop-downs'!$A$23,'2. CHW Input'!$F56*D5/100,0)))))</f>
        <v>0</v>
      </c>
      <c r="E58" s="316">
        <f>IF('2. CHW Input'!$F$7='CHW drop-downs'!$A$19,'2. CHW Input'!$F56*P58*K8*60,IF('2. CHW Input'!$F$7='CHW drop-downs'!$A$20,'2. CHW Input'!$F56*60*P58,IF('2. CHW Input'!$F$7='CHW drop-downs'!$A$21,'2. CHW Input'!$F56*12*60*K8,IF('2. CHW Input'!$F$7='CHW drop-downs'!$A$22,'2. CHW Input'!$F56*12*60,IF('2. CHW Input'!$F$7='CHW drop-downs'!$A$23,'2. CHW Input'!$F56*E5/100,0)))))</f>
        <v>0</v>
      </c>
      <c r="F58" s="316">
        <f>IF('2. CHW Input'!$F$7='CHW drop-downs'!$A$19,'2. CHW Input'!$F56*Q58*L8*60,IF('2. CHW Input'!$F$7='CHW drop-downs'!$A$20,'2. CHW Input'!$F56*60*Q58,IF('2. CHW Input'!$F$7='CHW drop-downs'!$A$21,'2. CHW Input'!$F56*12*60*L8,IF('2. CHW Input'!$F$7='CHW drop-downs'!$A$22,'2. CHW Input'!$F56*12*60,IF('2. CHW Input'!$F$7='CHW drop-downs'!$A$23,'2. CHW Input'!$F56*F5/100,0)))))</f>
        <v>0</v>
      </c>
      <c r="N58">
        <f>'policy interact graph numbers'!BH12</f>
        <v>0</v>
      </c>
      <c r="O58">
        <f>'policy interact graph numbers'!BK12</f>
        <v>0</v>
      </c>
      <c r="P58">
        <f>'policy interact graph numbers'!BN12</f>
        <v>0</v>
      </c>
      <c r="Q58">
        <f>'policy interact graph numbers'!AR11</f>
        <v>0</v>
      </c>
    </row>
    <row r="60" spans="1:17" x14ac:dyDescent="0.4">
      <c r="B60" t="s">
        <v>98</v>
      </c>
      <c r="N60" t="s">
        <v>1029</v>
      </c>
    </row>
    <row r="61" spans="1:17" x14ac:dyDescent="0.4">
      <c r="A61" t="s">
        <v>91</v>
      </c>
      <c r="B61" t="str">
        <f>IF(_chw1&lt;&gt;"",_chw1,"")</f>
        <v/>
      </c>
      <c r="C61" s="136">
        <f t="shared" ref="C61:F66" si="0">SUMIF($B$13:$B$58,$B61,C$13:C$58)</f>
        <v>0</v>
      </c>
      <c r="D61" s="136">
        <f t="shared" si="0"/>
        <v>0</v>
      </c>
      <c r="E61" s="136">
        <f t="shared" si="0"/>
        <v>0</v>
      </c>
      <c r="F61" s="136">
        <f t="shared" si="0"/>
        <v>0</v>
      </c>
      <c r="N61">
        <f>'policy interact graph numbers'!BI7</f>
        <v>0</v>
      </c>
      <c r="O61">
        <f>'policy interact graph numbers'!BL7</f>
        <v>0</v>
      </c>
      <c r="P61">
        <f>'policy interact graph numbers'!BO7</f>
        <v>0</v>
      </c>
      <c r="Q61">
        <f>'policy interact graph numbers'!AS6</f>
        <v>40</v>
      </c>
    </row>
    <row r="62" spans="1:17" x14ac:dyDescent="0.4">
      <c r="A62" t="s">
        <v>91</v>
      </c>
      <c r="B62" t="str">
        <f>IF(_chw2&lt;&gt;"",_chw2,"")</f>
        <v/>
      </c>
      <c r="C62" s="136">
        <f>SUMIF($B$13:$B$58,B62,C$13:C$58)</f>
        <v>0</v>
      </c>
      <c r="D62" s="136">
        <f t="shared" si="0"/>
        <v>0</v>
      </c>
      <c r="E62" s="136">
        <f t="shared" si="0"/>
        <v>0</v>
      </c>
      <c r="F62" s="136">
        <f t="shared" si="0"/>
        <v>0</v>
      </c>
      <c r="N62">
        <f>'policy interact graph numbers'!BI8</f>
        <v>0</v>
      </c>
      <c r="O62">
        <f>'policy interact graph numbers'!BL8</f>
        <v>0</v>
      </c>
      <c r="P62">
        <f>'policy interact graph numbers'!BO8</f>
        <v>0</v>
      </c>
      <c r="Q62">
        <f>'policy interact graph numbers'!AS7</f>
        <v>40</v>
      </c>
    </row>
    <row r="63" spans="1:17" x14ac:dyDescent="0.4">
      <c r="A63" t="s">
        <v>91</v>
      </c>
      <c r="B63" t="str">
        <f>IF(_chw3&lt;&gt;"",_chw3,"")</f>
        <v/>
      </c>
      <c r="C63" s="136">
        <f t="shared" si="0"/>
        <v>0</v>
      </c>
      <c r="D63" s="136">
        <f t="shared" si="0"/>
        <v>0</v>
      </c>
      <c r="E63" s="136">
        <f t="shared" si="0"/>
        <v>0</v>
      </c>
      <c r="F63" s="136">
        <f t="shared" si="0"/>
        <v>0</v>
      </c>
      <c r="N63">
        <f>'policy interact graph numbers'!BI9</f>
        <v>0</v>
      </c>
      <c r="O63">
        <f>'policy interact graph numbers'!BL9</f>
        <v>0</v>
      </c>
      <c r="P63">
        <f>'policy interact graph numbers'!BO9</f>
        <v>0</v>
      </c>
      <c r="Q63">
        <f>'policy interact graph numbers'!AS8</f>
        <v>0</v>
      </c>
    </row>
    <row r="64" spans="1:17" x14ac:dyDescent="0.4">
      <c r="A64" t="s">
        <v>91</v>
      </c>
      <c r="B64" t="str">
        <f>IF(_chw4&lt;&gt;"",_chw4,"")</f>
        <v/>
      </c>
      <c r="C64" s="136">
        <f t="shared" si="0"/>
        <v>0</v>
      </c>
      <c r="D64" s="136">
        <f t="shared" si="0"/>
        <v>0</v>
      </c>
      <c r="E64" s="136">
        <f t="shared" si="0"/>
        <v>0</v>
      </c>
      <c r="F64" s="136">
        <f t="shared" si="0"/>
        <v>0</v>
      </c>
      <c r="N64">
        <f>'policy interact graph numbers'!BI10</f>
        <v>0</v>
      </c>
      <c r="O64">
        <f>'policy interact graph numbers'!BL10</f>
        <v>0</v>
      </c>
      <c r="P64">
        <f>'policy interact graph numbers'!BO10</f>
        <v>0</v>
      </c>
      <c r="Q64">
        <f>'policy interact graph numbers'!AS9</f>
        <v>0</v>
      </c>
    </row>
    <row r="65" spans="1:17" x14ac:dyDescent="0.4">
      <c r="A65" t="s">
        <v>91</v>
      </c>
      <c r="B65" t="str">
        <f>IF(_chw5&lt;&gt;"",_chw5,"")</f>
        <v/>
      </c>
      <c r="C65" s="136">
        <f t="shared" si="0"/>
        <v>0</v>
      </c>
      <c r="D65" s="136">
        <f t="shared" si="0"/>
        <v>0</v>
      </c>
      <c r="E65" s="136">
        <f t="shared" si="0"/>
        <v>0</v>
      </c>
      <c r="F65" s="136">
        <f t="shared" si="0"/>
        <v>0</v>
      </c>
      <c r="N65">
        <f>'policy interact graph numbers'!BI11</f>
        <v>0</v>
      </c>
      <c r="O65">
        <f>'policy interact graph numbers'!BL11</f>
        <v>0</v>
      </c>
      <c r="P65">
        <f>'policy interact graph numbers'!BO11</f>
        <v>0</v>
      </c>
      <c r="Q65">
        <f>'policy interact graph numbers'!AS10</f>
        <v>0</v>
      </c>
    </row>
    <row r="66" spans="1:17" x14ac:dyDescent="0.4">
      <c r="A66" t="s">
        <v>91</v>
      </c>
      <c r="B66" t="str">
        <f>IF(_chw6&lt;&gt;"",_chw6,"")</f>
        <v/>
      </c>
      <c r="C66" s="136">
        <f t="shared" si="0"/>
        <v>0</v>
      </c>
      <c r="D66" s="136">
        <f t="shared" si="0"/>
        <v>0</v>
      </c>
      <c r="E66" s="136">
        <f t="shared" si="0"/>
        <v>0</v>
      </c>
      <c r="F66" s="136">
        <f t="shared" si="0"/>
        <v>0</v>
      </c>
      <c r="N66">
        <f>'policy interact graph numbers'!BI12</f>
        <v>0</v>
      </c>
      <c r="O66">
        <f>'policy interact graph numbers'!BL12</f>
        <v>0</v>
      </c>
      <c r="P66">
        <f>'policy interact graph numbers'!BO12</f>
        <v>0</v>
      </c>
      <c r="Q66">
        <f>'policy interact graph numbers'!AS11</f>
        <v>0</v>
      </c>
    </row>
    <row r="67" spans="1:17" x14ac:dyDescent="0.4">
      <c r="B67" s="324" t="s">
        <v>1039</v>
      </c>
    </row>
    <row r="68" spans="1:17" x14ac:dyDescent="0.4">
      <c r="C68" s="136">
        <f>'4. Policy Interactive Screen'!$D$3</f>
        <v>0</v>
      </c>
      <c r="D68" s="136">
        <f>'4. Policy Interactive Screen'!$G$3</f>
        <v>0</v>
      </c>
      <c r="E68" s="136">
        <f>'4. Policy Interactive Screen'!$J$3</f>
        <v>0</v>
      </c>
      <c r="F68" s="136"/>
    </row>
    <row r="69" spans="1:17" x14ac:dyDescent="0.4">
      <c r="A69" t="s">
        <v>91</v>
      </c>
      <c r="B69" t="str">
        <f>IF(_chw1&lt;&gt;"",_chw1,"")</f>
        <v/>
      </c>
      <c r="C69" s="136" t="str">
        <f>IF(C5&gt;0,C61/C5*100,"")</f>
        <v/>
      </c>
      <c r="D69" s="136" t="str">
        <f t="shared" ref="D69:F69" si="1">IF(D5&gt;0,D61/D5*100,"")</f>
        <v/>
      </c>
      <c r="E69" s="136" t="str">
        <f t="shared" si="1"/>
        <v/>
      </c>
      <c r="F69" s="137">
        <f t="shared" si="1"/>
        <v>0</v>
      </c>
    </row>
    <row r="70" spans="1:17" x14ac:dyDescent="0.4">
      <c r="A70" t="s">
        <v>91</v>
      </c>
      <c r="B70" t="str">
        <f>IF(_chw2&lt;&gt;"",_chw2,"")</f>
        <v/>
      </c>
      <c r="C70" s="136" t="str">
        <f t="shared" ref="C70:F74" si="2">IF(C6&gt;0,C62/C6*100,"")</f>
        <v/>
      </c>
      <c r="D70" s="136" t="str">
        <f t="shared" si="2"/>
        <v/>
      </c>
      <c r="E70" s="136" t="str">
        <f t="shared" si="2"/>
        <v/>
      </c>
      <c r="F70" s="137">
        <f t="shared" si="2"/>
        <v>0</v>
      </c>
    </row>
    <row r="71" spans="1:17" x14ac:dyDescent="0.4">
      <c r="A71" t="s">
        <v>91</v>
      </c>
      <c r="B71" t="str">
        <f>IF(_chw3&lt;&gt;"",_chw3,"")</f>
        <v/>
      </c>
      <c r="C71" s="136" t="str">
        <f t="shared" si="2"/>
        <v/>
      </c>
      <c r="D71" s="136" t="str">
        <f t="shared" si="2"/>
        <v/>
      </c>
      <c r="E71" s="136" t="str">
        <f t="shared" si="2"/>
        <v/>
      </c>
      <c r="F71" s="137" t="str">
        <f t="shared" si="2"/>
        <v/>
      </c>
    </row>
    <row r="72" spans="1:17" x14ac:dyDescent="0.4">
      <c r="A72" t="s">
        <v>91</v>
      </c>
      <c r="B72" t="str">
        <f>IF(_chw4&lt;&gt;"",_chw4,"")</f>
        <v/>
      </c>
      <c r="C72" s="136" t="str">
        <f t="shared" si="2"/>
        <v/>
      </c>
      <c r="D72" s="136" t="str">
        <f t="shared" si="2"/>
        <v/>
      </c>
      <c r="E72" s="136" t="str">
        <f t="shared" si="2"/>
        <v/>
      </c>
      <c r="F72" s="137" t="str">
        <f t="shared" si="2"/>
        <v/>
      </c>
    </row>
    <row r="73" spans="1:17" x14ac:dyDescent="0.4">
      <c r="A73" t="s">
        <v>91</v>
      </c>
      <c r="B73" t="str">
        <f>IF(_chw5&lt;&gt;"",_chw5,"")</f>
        <v/>
      </c>
      <c r="C73" s="136" t="str">
        <f t="shared" si="2"/>
        <v/>
      </c>
      <c r="D73" s="136" t="str">
        <f t="shared" si="2"/>
        <v/>
      </c>
      <c r="E73" s="136" t="str">
        <f t="shared" si="2"/>
        <v/>
      </c>
      <c r="F73" s="137" t="str">
        <f t="shared" si="2"/>
        <v/>
      </c>
    </row>
    <row r="74" spans="1:17" x14ac:dyDescent="0.4">
      <c r="A74" t="s">
        <v>91</v>
      </c>
      <c r="B74" t="str">
        <f>IF(_chw6&lt;&gt;"",_chw6,"")</f>
        <v/>
      </c>
      <c r="C74" s="136" t="str">
        <f t="shared" si="2"/>
        <v/>
      </c>
      <c r="D74" s="136" t="str">
        <f t="shared" si="2"/>
        <v/>
      </c>
      <c r="E74" s="136" t="str">
        <f t="shared" si="2"/>
        <v/>
      </c>
      <c r="F74" s="137" t="str">
        <f t="shared" si="2"/>
        <v/>
      </c>
    </row>
    <row r="75" spans="1:17" x14ac:dyDescent="0.4">
      <c r="B75" t="s">
        <v>1055</v>
      </c>
      <c r="C75" s="324">
        <v>100</v>
      </c>
      <c r="D75" s="324">
        <v>100</v>
      </c>
      <c r="E75" s="324">
        <v>100</v>
      </c>
    </row>
    <row r="76" spans="1:17" x14ac:dyDescent="0.4">
      <c r="B76" s="324" t="s">
        <v>1040</v>
      </c>
    </row>
    <row r="77" spans="1:17" x14ac:dyDescent="0.4">
      <c r="C77" s="136">
        <f>C68</f>
        <v>0</v>
      </c>
      <c r="D77" s="136">
        <f t="shared" ref="D77:F77" si="3">D68</f>
        <v>0</v>
      </c>
      <c r="E77" s="136">
        <f t="shared" si="3"/>
        <v>0</v>
      </c>
      <c r="F77" s="136">
        <f t="shared" si="3"/>
        <v>0</v>
      </c>
    </row>
    <row r="78" spans="1:17" x14ac:dyDescent="0.4">
      <c r="B78" s="323" t="str">
        <f>IF(_chw1&lt;&gt;"",_chw1,"")</f>
        <v/>
      </c>
      <c r="C78" s="136" t="str">
        <f>IF(C5&gt;0,C69/100*CHW_Numbers!C11,"")</f>
        <v/>
      </c>
      <c r="D78" s="136" t="str">
        <f>IF(D5&gt;0,D69/100*CHW_Numbers!D11,"")</f>
        <v/>
      </c>
      <c r="E78" s="136" t="str">
        <f>IF(E5&gt;0,E69/100*CHW_Numbers!E11,"")</f>
        <v/>
      </c>
      <c r="F78" s="136">
        <f>IF(F5&gt;0,F69/100*CHW_Numbers!F11,"")</f>
        <v>0</v>
      </c>
    </row>
    <row r="79" spans="1:17" x14ac:dyDescent="0.4">
      <c r="B79" s="323" t="str">
        <f>IF(_chw2&lt;&gt;"",_chw2,"")</f>
        <v/>
      </c>
      <c r="C79" s="136" t="str">
        <f>IF(C6&gt;0,C70/100*CHW_Numbers!C24,"")</f>
        <v/>
      </c>
      <c r="D79" s="136" t="str">
        <f>IF(D6&gt;0,D70/100*CHW_Numbers!D24,"")</f>
        <v/>
      </c>
      <c r="E79" s="136" t="str">
        <f>IF(E6&gt;0,E70/100*CHW_Numbers!E24,"")</f>
        <v/>
      </c>
      <c r="F79" s="136">
        <f>IF(F6&gt;0,F70/100*CHW_Numbers!F24,"")</f>
        <v>0</v>
      </c>
    </row>
    <row r="80" spans="1:17" x14ac:dyDescent="0.4">
      <c r="B80" s="323" t="str">
        <f>IF(_chw3&lt;&gt;"",_chw3,"")</f>
        <v/>
      </c>
      <c r="C80" s="136" t="str">
        <f>IF(C7&gt;0,C71/100*CHW_Numbers!C37,"")</f>
        <v/>
      </c>
      <c r="D80" s="136" t="str">
        <f>IF(D7&gt;0,D71/100*CHW_Numbers!D37,"")</f>
        <v/>
      </c>
      <c r="E80" s="136" t="str">
        <f>IF(E7&gt;0,E71/100*CHW_Numbers!E37,"")</f>
        <v/>
      </c>
      <c r="F80" s="323" t="str">
        <f>IF(F7&gt;0,F71/100*CHW_Numbers!F37,"")</f>
        <v/>
      </c>
    </row>
    <row r="81" spans="2:6" x14ac:dyDescent="0.4">
      <c r="B81" s="323" t="str">
        <f>IF(_chw4&lt;&gt;"",_chw4,"")</f>
        <v/>
      </c>
      <c r="C81" s="136" t="str">
        <f>IF(C8&gt;0,C72/100*CHW_Numbers!C50,"")</f>
        <v/>
      </c>
      <c r="D81" s="136" t="str">
        <f>IF(D8&gt;0,D72/100*CHW_Numbers!D50,"")</f>
        <v/>
      </c>
      <c r="E81" s="136" t="str">
        <f>IF(E8&gt;0,E72/100*CHW_Numbers!E50,"")</f>
        <v/>
      </c>
      <c r="F81" s="323" t="str">
        <f>IF(F8&gt;0,F72/100*CHW_Numbers!F50,"")</f>
        <v/>
      </c>
    </row>
    <row r="82" spans="2:6" x14ac:dyDescent="0.4">
      <c r="B82" s="323" t="str">
        <f>IF(_chw5&lt;&gt;"",_chw5,"")</f>
        <v/>
      </c>
      <c r="C82" s="136" t="str">
        <f>IF(C9&gt;0,C73/100*CHW_Numbers!C63,"")</f>
        <v/>
      </c>
      <c r="D82" s="136" t="str">
        <f>IF(D9&gt;0,D73/100*CHW_Numbers!D63,"")</f>
        <v/>
      </c>
      <c r="E82" s="136" t="str">
        <f>IF(E9&gt;0,E73/100*CHW_Numbers!E63,"")</f>
        <v/>
      </c>
      <c r="F82" s="323" t="str">
        <f>IF(F9&gt;0,F73/100*CHW_Numbers!F63,"")</f>
        <v/>
      </c>
    </row>
    <row r="83" spans="2:6" x14ac:dyDescent="0.4">
      <c r="B83" s="323" t="str">
        <f>IF(_chw6&lt;&gt;"",_chw6,"")</f>
        <v/>
      </c>
      <c r="C83" s="136" t="str">
        <f>IF(C10&gt;0,C74/100*CHW_Numbers!C76,"")</f>
        <v/>
      </c>
      <c r="D83" s="136" t="str">
        <f>IF(D10&gt;0,D74/100*CHW_Numbers!D76,"")</f>
        <v/>
      </c>
      <c r="E83" s="136" t="str">
        <f>IF(E10&gt;0,E74/100*CHW_Numbers!E76,"")</f>
        <v/>
      </c>
      <c r="F83" s="323" t="str">
        <f>IF(F10&gt;0,F74/100*CHW_Numbers!F76,"")</f>
        <v/>
      </c>
    </row>
    <row r="85" spans="2:6" x14ac:dyDescent="0.4">
      <c r="B85" s="324" t="s">
        <v>1051</v>
      </c>
      <c r="C85" s="323"/>
      <c r="D85" s="323"/>
      <c r="E85" s="323"/>
      <c r="F85" s="323"/>
    </row>
    <row r="86" spans="2:6" x14ac:dyDescent="0.4">
      <c r="B86" s="323"/>
      <c r="C86" s="136">
        <f>C77</f>
        <v>0</v>
      </c>
      <c r="D86" s="136">
        <f t="shared" ref="D86:F86" si="4">D77</f>
        <v>0</v>
      </c>
      <c r="E86" s="136">
        <f t="shared" si="4"/>
        <v>0</v>
      </c>
      <c r="F86" s="136">
        <f t="shared" si="4"/>
        <v>0</v>
      </c>
    </row>
    <row r="87" spans="2:6" x14ac:dyDescent="0.4">
      <c r="B87" s="323" t="str">
        <f>IF(_chw1&lt;&gt;"",_chw1,"")</f>
        <v/>
      </c>
      <c r="C87" s="136" t="str">
        <f>IF(C69&lt;&gt;"",100/C69*100,"")</f>
        <v/>
      </c>
      <c r="D87" s="136" t="str">
        <f t="shared" ref="D87:F87" si="5">IF(D69&lt;&gt;"",100/D69*100,"")</f>
        <v/>
      </c>
      <c r="E87" s="136" t="str">
        <f t="shared" si="5"/>
        <v/>
      </c>
      <c r="F87" s="136" t="e">
        <f t="shared" si="5"/>
        <v>#DIV/0!</v>
      </c>
    </row>
    <row r="88" spans="2:6" x14ac:dyDescent="0.4">
      <c r="B88" s="323" t="str">
        <f>IF(_chw2&lt;&gt;"",_chw2,"")</f>
        <v/>
      </c>
      <c r="C88" s="136" t="str">
        <f t="shared" ref="C88:F88" si="6">IF(C70&lt;&gt;"",100/C70*100,"")</f>
        <v/>
      </c>
      <c r="D88" s="136" t="str">
        <f t="shared" si="6"/>
        <v/>
      </c>
      <c r="E88" s="136" t="str">
        <f t="shared" si="6"/>
        <v/>
      </c>
      <c r="F88" s="136" t="e">
        <f t="shared" si="6"/>
        <v>#DIV/0!</v>
      </c>
    </row>
    <row r="89" spans="2:6" x14ac:dyDescent="0.4">
      <c r="B89" s="323" t="str">
        <f>IF(_chw3&lt;&gt;"",_chw3,"")</f>
        <v/>
      </c>
      <c r="C89" s="136" t="str">
        <f t="shared" ref="C89:F89" si="7">IF(C71&lt;&gt;"",100/C71*100,"")</f>
        <v/>
      </c>
      <c r="D89" s="136" t="str">
        <f t="shared" si="7"/>
        <v/>
      </c>
      <c r="E89" s="136" t="str">
        <f t="shared" si="7"/>
        <v/>
      </c>
      <c r="F89" s="136" t="str">
        <f t="shared" si="7"/>
        <v/>
      </c>
    </row>
    <row r="90" spans="2:6" x14ac:dyDescent="0.4">
      <c r="B90" s="323" t="str">
        <f>IF(_chw4&lt;&gt;"",_chw4,"")</f>
        <v/>
      </c>
      <c r="C90" s="136" t="str">
        <f t="shared" ref="C90:F90" si="8">IF(C72&lt;&gt;"",100/C72*100,"")</f>
        <v/>
      </c>
      <c r="D90" s="136" t="str">
        <f t="shared" si="8"/>
        <v/>
      </c>
      <c r="E90" s="136" t="str">
        <f t="shared" si="8"/>
        <v/>
      </c>
      <c r="F90" s="136" t="str">
        <f t="shared" si="8"/>
        <v/>
      </c>
    </row>
    <row r="91" spans="2:6" x14ac:dyDescent="0.4">
      <c r="B91" s="323" t="str">
        <f>IF(_chw5&lt;&gt;"",_chw5,"")</f>
        <v/>
      </c>
      <c r="C91" s="136" t="str">
        <f t="shared" ref="C91:F91" si="9">IF(C73&lt;&gt;"",100/C73*100,"")</f>
        <v/>
      </c>
      <c r="D91" s="136" t="str">
        <f t="shared" si="9"/>
        <v/>
      </c>
      <c r="E91" s="136" t="str">
        <f t="shared" si="9"/>
        <v/>
      </c>
      <c r="F91" s="136" t="str">
        <f t="shared" si="9"/>
        <v/>
      </c>
    </row>
    <row r="92" spans="2:6" x14ac:dyDescent="0.4">
      <c r="B92" s="323" t="str">
        <f>IF(_chw6&lt;&gt;"",_chw6,"")</f>
        <v/>
      </c>
      <c r="C92" s="136" t="str">
        <f t="shared" ref="C92:F92" si="10">IF(C74&lt;&gt;"",100/C74*100,"")</f>
        <v/>
      </c>
      <c r="D92" s="136" t="str">
        <f t="shared" si="10"/>
        <v/>
      </c>
      <c r="E92" s="136" t="str">
        <f t="shared" si="10"/>
        <v/>
      </c>
      <c r="F92" s="136" t="str">
        <f t="shared" si="10"/>
        <v/>
      </c>
    </row>
    <row r="93" spans="2:6" x14ac:dyDescent="0.4">
      <c r="B93" s="323" t="s">
        <v>1055</v>
      </c>
      <c r="C93">
        <v>100</v>
      </c>
      <c r="D93">
        <v>100</v>
      </c>
      <c r="E93">
        <v>100</v>
      </c>
    </row>
  </sheetData>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2">
    <tabColor theme="8" tint="-0.249977111117893"/>
  </sheetPr>
  <dimension ref="A1:R173"/>
  <sheetViews>
    <sheetView zoomScale="90" zoomScaleNormal="90" workbookViewId="0">
      <pane ySplit="4" topLeftCell="A97" activePane="bottomLeft" state="frozen"/>
      <selection activeCell="C22" sqref="C22"/>
      <selection pane="bottomLeft" activeCell="B117" sqref="B117"/>
    </sheetView>
  </sheetViews>
  <sheetFormatPr defaultColWidth="8.84375" defaultRowHeight="14.6" x14ac:dyDescent="0.4"/>
  <cols>
    <col min="1" max="1" width="4.3046875" customWidth="1"/>
    <col min="2" max="2" width="37.4609375" customWidth="1"/>
    <col min="3" max="3" width="12.4609375" customWidth="1"/>
    <col min="4" max="6" width="12.69140625" customWidth="1"/>
    <col min="8" max="8" width="10" customWidth="1"/>
  </cols>
  <sheetData>
    <row r="1" spans="1:18" s="142" customFormat="1" x14ac:dyDescent="0.4">
      <c r="A1" s="141" t="s">
        <v>129</v>
      </c>
      <c r="B1" s="141"/>
      <c r="C1" s="141"/>
      <c r="D1" s="141"/>
      <c r="E1" s="141"/>
      <c r="F1" s="141"/>
      <c r="G1" s="141"/>
      <c r="H1" s="141"/>
      <c r="I1" s="141"/>
      <c r="J1" s="141"/>
      <c r="K1" s="141"/>
      <c r="L1" s="141"/>
      <c r="M1" s="141"/>
      <c r="N1" s="141"/>
      <c r="O1" s="141"/>
      <c r="P1" s="141"/>
      <c r="Q1" s="141"/>
      <c r="R1" s="141"/>
    </row>
    <row r="2" spans="1:18" s="146" customFormat="1" x14ac:dyDescent="0.4">
      <c r="A2" s="143">
        <f>IF(subnational="Y",subnational_name&amp;", "&amp;selected_country,selected_country)</f>
        <v>0</v>
      </c>
      <c r="B2" s="144"/>
    </row>
    <row r="3" spans="1:18" ht="15" thickBot="1" x14ac:dyDescent="0.45"/>
    <row r="4" spans="1:18" ht="15" thickBot="1" x14ac:dyDescent="0.45">
      <c r="B4" s="209"/>
      <c r="C4" s="5">
        <f>baseline_year</f>
        <v>0</v>
      </c>
      <c r="D4" s="6">
        <f>baseline_year+1</f>
        <v>1</v>
      </c>
      <c r="E4" s="6">
        <f t="shared" ref="E4:F4" si="0">D4+1</f>
        <v>2</v>
      </c>
      <c r="F4" s="6">
        <f t="shared" si="0"/>
        <v>3</v>
      </c>
    </row>
    <row r="5" spans="1:18" x14ac:dyDescent="0.4">
      <c r="B5" s="138"/>
      <c r="C5" s="8"/>
      <c r="D5" s="9"/>
      <c r="E5" s="9"/>
      <c r="F5" s="9"/>
    </row>
    <row r="6" spans="1:18" ht="15" thickBot="1" x14ac:dyDescent="0.45">
      <c r="B6" s="138" t="s">
        <v>130</v>
      </c>
      <c r="C6" s="8"/>
      <c r="D6" s="9"/>
      <c r="E6" s="9"/>
      <c r="F6" s="9"/>
    </row>
    <row r="7" spans="1:18" x14ac:dyDescent="0.4">
      <c r="A7" s="112" t="str">
        <f>CHW_Numbers!A86</f>
        <v>Rural</v>
      </c>
      <c r="B7" s="164" t="str">
        <f>IF(_chw1="","",_chw1)</f>
        <v/>
      </c>
      <c r="C7" s="216">
        <f>CHW_Numbers!C86</f>
        <v>0</v>
      </c>
      <c r="D7" s="216">
        <f>CHW_Numbers!D86</f>
        <v>0</v>
      </c>
      <c r="E7" s="216">
        <f>CHW_Numbers!E86</f>
        <v>0</v>
      </c>
      <c r="F7" s="216">
        <f>CHW_Numbers!F86</f>
        <v>0</v>
      </c>
    </row>
    <row r="8" spans="1:18" x14ac:dyDescent="0.4">
      <c r="A8" s="112" t="str">
        <f>CHW_Numbers!A87</f>
        <v>Urban</v>
      </c>
      <c r="B8" s="161" t="str">
        <f>IF(_chw2="","",_chw2)</f>
        <v/>
      </c>
      <c r="C8" s="217">
        <f>CHW_Numbers!C87</f>
        <v>0</v>
      </c>
      <c r="D8" s="217">
        <f>CHW_Numbers!D87</f>
        <v>0</v>
      </c>
      <c r="E8" s="217">
        <f>CHW_Numbers!E87</f>
        <v>0</v>
      </c>
      <c r="F8" s="217">
        <f>CHW_Numbers!F87</f>
        <v>0</v>
      </c>
    </row>
    <row r="9" spans="1:18" x14ac:dyDescent="0.4">
      <c r="A9" s="112" t="str">
        <f>CHW_Numbers!A88</f>
        <v>Urban</v>
      </c>
      <c r="B9" s="161" t="str">
        <f>IF(_chw3="","",_chw3)</f>
        <v/>
      </c>
      <c r="C9" s="217">
        <f>CHW_Numbers!C88</f>
        <v>0</v>
      </c>
      <c r="D9" s="217">
        <f>CHW_Numbers!D88</f>
        <v>0</v>
      </c>
      <c r="E9" s="217">
        <f>CHW_Numbers!E88</f>
        <v>0</v>
      </c>
      <c r="F9" s="217">
        <f>CHW_Numbers!F88</f>
        <v>0</v>
      </c>
    </row>
    <row r="10" spans="1:18" x14ac:dyDescent="0.4">
      <c r="A10" s="112" t="str">
        <f>CHW_Numbers!A89</f>
        <v>Urban</v>
      </c>
      <c r="B10" s="161" t="str">
        <f>IF(_chw4="","",_chw4)</f>
        <v/>
      </c>
      <c r="C10" s="217">
        <f>CHW_Numbers!C89</f>
        <v>0</v>
      </c>
      <c r="D10" s="217">
        <f>CHW_Numbers!D89</f>
        <v>0</v>
      </c>
      <c r="E10" s="217">
        <f>CHW_Numbers!E89</f>
        <v>0</v>
      </c>
      <c r="F10" s="217">
        <f>CHW_Numbers!F89</f>
        <v>0</v>
      </c>
    </row>
    <row r="11" spans="1:18" x14ac:dyDescent="0.4">
      <c r="A11" s="112" t="str">
        <f>CHW_Numbers!A90</f>
        <v>Urban</v>
      </c>
      <c r="B11" s="161" t="str">
        <f>IF(_chw5="","",_chw5)</f>
        <v/>
      </c>
      <c r="C11" s="217">
        <f>CHW_Numbers!C90</f>
        <v>0</v>
      </c>
      <c r="D11" s="217">
        <f>CHW_Numbers!D90</f>
        <v>0</v>
      </c>
      <c r="E11" s="217">
        <f>CHW_Numbers!E90</f>
        <v>0</v>
      </c>
      <c r="F11" s="217">
        <f>CHW_Numbers!F90</f>
        <v>0</v>
      </c>
    </row>
    <row r="12" spans="1:18" x14ac:dyDescent="0.4">
      <c r="A12" s="112" t="str">
        <f>CHW_Numbers!A91</f>
        <v>Urban</v>
      </c>
      <c r="B12" s="161" t="str">
        <f>IF(_chw6="","",_chw6)</f>
        <v/>
      </c>
      <c r="C12" s="217">
        <f>CHW_Numbers!C91</f>
        <v>0</v>
      </c>
      <c r="D12" s="217">
        <f>CHW_Numbers!D91</f>
        <v>0</v>
      </c>
      <c r="E12" s="217">
        <f>CHW_Numbers!E91</f>
        <v>0</v>
      </c>
      <c r="F12" s="217">
        <f>CHW_Numbers!F91</f>
        <v>0</v>
      </c>
    </row>
    <row r="13" spans="1:18" ht="15" thickBot="1" x14ac:dyDescent="0.45">
      <c r="B13" s="161" t="s">
        <v>113</v>
      </c>
      <c r="C13" s="217">
        <f>CHW_Numbers!C92</f>
        <v>0</v>
      </c>
      <c r="D13" s="217">
        <f>CHW_Numbers!D92</f>
        <v>0</v>
      </c>
      <c r="E13" s="217">
        <f>CHW_Numbers!E92</f>
        <v>0</v>
      </c>
      <c r="F13" s="217">
        <f>CHW_Numbers!F92</f>
        <v>0</v>
      </c>
    </row>
    <row r="14" spans="1:18" x14ac:dyDescent="0.4">
      <c r="A14" s="112">
        <f>COUNTIF(A7:A12,"Urban")</f>
        <v>5</v>
      </c>
      <c r="B14" s="164" t="s">
        <v>114</v>
      </c>
      <c r="C14" s="216">
        <f>CHW_Numbers!C93</f>
        <v>0</v>
      </c>
      <c r="D14" s="216">
        <f>CHW_Numbers!D93</f>
        <v>0</v>
      </c>
      <c r="E14" s="216">
        <f>CHW_Numbers!E93</f>
        <v>0</v>
      </c>
      <c r="F14" s="216">
        <f>CHW_Numbers!F93</f>
        <v>0</v>
      </c>
    </row>
    <row r="15" spans="1:18" ht="15" thickBot="1" x14ac:dyDescent="0.45">
      <c r="A15" s="112">
        <f>COUNTIF(A7:A12,"Rural")</f>
        <v>1</v>
      </c>
      <c r="B15" s="163" t="s">
        <v>115</v>
      </c>
      <c r="C15" s="218">
        <f>CHW_Numbers!C94</f>
        <v>0</v>
      </c>
      <c r="D15" s="218">
        <f>CHW_Numbers!D94</f>
        <v>0</v>
      </c>
      <c r="E15" s="218">
        <f>CHW_Numbers!E94</f>
        <v>0</v>
      </c>
      <c r="F15" s="218">
        <f>CHW_Numbers!F94</f>
        <v>0</v>
      </c>
    </row>
    <row r="16" spans="1:18" ht="15" thickBot="1" x14ac:dyDescent="0.45">
      <c r="B16" s="138" t="s">
        <v>131</v>
      </c>
      <c r="C16" s="8"/>
      <c r="D16" s="9"/>
      <c r="E16" s="9"/>
      <c r="F16" s="9"/>
    </row>
    <row r="17" spans="2:10" x14ac:dyDescent="0.4">
      <c r="B17" s="164">
        <f>_chw1</f>
        <v>0</v>
      </c>
      <c r="C17" s="210">
        <f>SUMIF(Service_Numbers!$D$6:$D$105,$B17,Service_Numbers!L$6:L$105)</f>
        <v>0</v>
      </c>
      <c r="D17" s="210">
        <f>SUMIF(Service_Numbers!E$6:E$105,$B17,Service_Numbers!M$6:M$105)</f>
        <v>0</v>
      </c>
      <c r="E17" s="210">
        <f>SUMIF(Service_Numbers!F$6:F$105,$B17,Service_Numbers!N$6:N$105)</f>
        <v>0</v>
      </c>
      <c r="F17" s="210">
        <f>SUMIF(Service_Numbers!G$6:G$105,$B17,Service_Numbers!O$6:O$105)</f>
        <v>0</v>
      </c>
      <c r="J17" s="328">
        <f>C17-D17</f>
        <v>0</v>
      </c>
    </row>
    <row r="18" spans="2:10" x14ac:dyDescent="0.4">
      <c r="B18" s="161">
        <f>_chw2</f>
        <v>0</v>
      </c>
      <c r="C18" s="139">
        <f>SUMIF(Service_Numbers!$D$6:$D$105,$B18,Service_Numbers!L$6:L$105)</f>
        <v>0</v>
      </c>
      <c r="D18" s="139">
        <f>SUMIF(Service_Numbers!E$6:E$105,$B18,Service_Numbers!M$6:M$105)</f>
        <v>0</v>
      </c>
      <c r="E18" s="139">
        <f>SUMIF(Service_Numbers!F$6:F$105,$B18,Service_Numbers!N$6:N$105)</f>
        <v>0</v>
      </c>
      <c r="F18" s="139">
        <f>SUMIF(Service_Numbers!G$6:G$105,$B18,Service_Numbers!O$6:O$105)</f>
        <v>0</v>
      </c>
    </row>
    <row r="19" spans="2:10" x14ac:dyDescent="0.4">
      <c r="B19" s="161">
        <f>_chw3</f>
        <v>0</v>
      </c>
      <c r="C19" s="139">
        <f>SUMIF(Service_Numbers!$D$6:$D$105,$B19,Service_Numbers!L$6:L$105)</f>
        <v>0</v>
      </c>
      <c r="D19" s="139">
        <f>SUMIF(Service_Numbers!E$6:E$105,$B19,Service_Numbers!M$6:M$105)</f>
        <v>0</v>
      </c>
      <c r="E19" s="139">
        <f>SUMIF(Service_Numbers!F$6:F$105,$B19,Service_Numbers!N$6:N$105)</f>
        <v>0</v>
      </c>
      <c r="F19" s="139">
        <f>SUMIF(Service_Numbers!G$6:G$105,$B19,Service_Numbers!O$6:O$105)</f>
        <v>0</v>
      </c>
    </row>
    <row r="20" spans="2:10" x14ac:dyDescent="0.4">
      <c r="B20" s="161">
        <f>_chw4</f>
        <v>0</v>
      </c>
      <c r="C20" s="139">
        <f>SUMIF(Service_Numbers!$D$6:$D$105,$B20,Service_Numbers!L$6:L$105)</f>
        <v>0</v>
      </c>
      <c r="D20" s="139">
        <f>SUMIF(Service_Numbers!E$6:E$105,$B20,Service_Numbers!M$6:M$105)</f>
        <v>0</v>
      </c>
      <c r="E20" s="139">
        <f>SUMIF(Service_Numbers!F$6:F$105,$B20,Service_Numbers!N$6:N$105)</f>
        <v>0</v>
      </c>
      <c r="F20" s="139">
        <f>SUMIF(Service_Numbers!G$6:G$105,$B20,Service_Numbers!O$6:O$105)</f>
        <v>0</v>
      </c>
    </row>
    <row r="21" spans="2:10" x14ac:dyDescent="0.4">
      <c r="B21" s="161">
        <f>_chw5</f>
        <v>0</v>
      </c>
      <c r="C21" s="139">
        <f>SUMIF(Service_Numbers!$D$6:$D$105,$B21,Service_Numbers!L$6:L$105)</f>
        <v>0</v>
      </c>
      <c r="D21" s="139">
        <f>SUMIF(Service_Numbers!E$6:E$105,$B21,Service_Numbers!M$6:M$105)</f>
        <v>0</v>
      </c>
      <c r="E21" s="139">
        <f>SUMIF(Service_Numbers!F$6:F$105,$B21,Service_Numbers!N$6:N$105)</f>
        <v>0</v>
      </c>
      <c r="F21" s="139">
        <f>SUMIF(Service_Numbers!G$6:G$105,$B21,Service_Numbers!O$6:O$105)</f>
        <v>0</v>
      </c>
    </row>
    <row r="22" spans="2:10" x14ac:dyDescent="0.4">
      <c r="B22" s="161">
        <f>_chw6</f>
        <v>0</v>
      </c>
      <c r="C22" s="139">
        <f>SUMIF(Service_Numbers!$D$6:$D$105,$B22,Service_Numbers!L$6:L$105)</f>
        <v>0</v>
      </c>
      <c r="D22" s="139">
        <f>SUMIF(Service_Numbers!E$6:E$105,$B22,Service_Numbers!M$6:M$105)</f>
        <v>0</v>
      </c>
      <c r="E22" s="139">
        <f>SUMIF(Service_Numbers!F$6:F$105,$B22,Service_Numbers!N$6:N$105)</f>
        <v>0</v>
      </c>
      <c r="F22" s="139">
        <f>SUMIF(Service_Numbers!G$6:G$105,$B22,Service_Numbers!O$6:O$105)</f>
        <v>0</v>
      </c>
    </row>
    <row r="23" spans="2:10" ht="15" thickBot="1" x14ac:dyDescent="0.45">
      <c r="B23" s="161" t="s">
        <v>113</v>
      </c>
      <c r="C23" s="139">
        <f>SUMIF(Service_Numbers!$D$6:$D$105,$B23,Service_Numbers!L$6:L$105)</f>
        <v>0</v>
      </c>
      <c r="D23" s="139">
        <f>SUMIF(Service_Numbers!E$6:E$105,$B23,Service_Numbers!M$6:M$105)</f>
        <v>0</v>
      </c>
      <c r="E23" s="139">
        <f>SUMIF(Service_Numbers!F$6:F$105,$B23,Service_Numbers!N$6:N$105)</f>
        <v>0</v>
      </c>
      <c r="F23" s="139">
        <f>SUMIF(Service_Numbers!G$6:G$105,$B23,Service_Numbers!O$6:O$105)</f>
        <v>0</v>
      </c>
    </row>
    <row r="24" spans="2:10" ht="15" thickBot="1" x14ac:dyDescent="0.45">
      <c r="B24" s="160" t="s">
        <v>99</v>
      </c>
      <c r="C24" s="211">
        <f>IF(ROUND(SUM(C17:C23),0)=Service_Numbers!L4,Service_Numbers!L4,"Error")</f>
        <v>0</v>
      </c>
      <c r="D24" s="211">
        <f>IF(ROUND(SUM(D17:D23),0)=Service_Numbers!M4,Service_Numbers!M4,"Error")</f>
        <v>0</v>
      </c>
      <c r="E24" s="211">
        <f>IF(ROUND(SUM(E17:E23),0)=Service_Numbers!N4,Service_Numbers!N4,"Error")</f>
        <v>0</v>
      </c>
      <c r="F24" s="211">
        <f>IF(ROUND(SUM(F17:F23),0)=Service_Numbers!O4,Service_Numbers!O4,"Error")</f>
        <v>0</v>
      </c>
    </row>
    <row r="25" spans="2:10" x14ac:dyDescent="0.4">
      <c r="B25" s="109"/>
      <c r="C25" s="139"/>
      <c r="D25" s="139"/>
      <c r="E25" s="139"/>
      <c r="F25" s="139"/>
    </row>
    <row r="26" spans="2:10" ht="15" thickBot="1" x14ac:dyDescent="0.45">
      <c r="B26" s="138" t="s">
        <v>132</v>
      </c>
      <c r="C26" s="8"/>
      <c r="D26" s="9"/>
      <c r="E26" s="9"/>
      <c r="F26" s="9"/>
    </row>
    <row r="27" spans="2:10" x14ac:dyDescent="0.4">
      <c r="B27" s="164">
        <f>_chw1</f>
        <v>0</v>
      </c>
      <c r="C27" s="219">
        <f>IF(C$24=0,0,C17/C$24)</f>
        <v>0</v>
      </c>
      <c r="D27" s="220">
        <f t="shared" ref="D27:F33" si="1">IF(D$24=0,0,D17/D$24)</f>
        <v>0</v>
      </c>
      <c r="E27" s="220">
        <f t="shared" si="1"/>
        <v>0</v>
      </c>
      <c r="F27" s="220">
        <f t="shared" si="1"/>
        <v>0</v>
      </c>
    </row>
    <row r="28" spans="2:10" x14ac:dyDescent="0.4">
      <c r="B28" s="161">
        <f>_chw2</f>
        <v>0</v>
      </c>
      <c r="C28" s="221">
        <f t="shared" ref="C28:C33" si="2">IF(C$24=0,0,C18/C$24)</f>
        <v>0</v>
      </c>
      <c r="D28" s="221">
        <f t="shared" si="1"/>
        <v>0</v>
      </c>
      <c r="E28" s="221">
        <f t="shared" si="1"/>
        <v>0</v>
      </c>
      <c r="F28" s="221">
        <f t="shared" si="1"/>
        <v>0</v>
      </c>
    </row>
    <row r="29" spans="2:10" x14ac:dyDescent="0.4">
      <c r="B29" s="161">
        <f>_chw3</f>
        <v>0</v>
      </c>
      <c r="C29" s="221">
        <f t="shared" si="2"/>
        <v>0</v>
      </c>
      <c r="D29" s="221">
        <f t="shared" si="1"/>
        <v>0</v>
      </c>
      <c r="E29" s="221">
        <f t="shared" si="1"/>
        <v>0</v>
      </c>
      <c r="F29" s="221">
        <f t="shared" si="1"/>
        <v>0</v>
      </c>
    </row>
    <row r="30" spans="2:10" x14ac:dyDescent="0.4">
      <c r="B30" s="161">
        <f>_chw4</f>
        <v>0</v>
      </c>
      <c r="C30" s="221">
        <f t="shared" si="2"/>
        <v>0</v>
      </c>
      <c r="D30" s="221">
        <f t="shared" si="1"/>
        <v>0</v>
      </c>
      <c r="E30" s="221">
        <f t="shared" si="1"/>
        <v>0</v>
      </c>
      <c r="F30" s="221">
        <f t="shared" si="1"/>
        <v>0</v>
      </c>
    </row>
    <row r="31" spans="2:10" x14ac:dyDescent="0.4">
      <c r="B31" s="161">
        <f>_chw5</f>
        <v>0</v>
      </c>
      <c r="C31" s="221">
        <f t="shared" si="2"/>
        <v>0</v>
      </c>
      <c r="D31" s="221">
        <f t="shared" si="1"/>
        <v>0</v>
      </c>
      <c r="E31" s="221">
        <f t="shared" si="1"/>
        <v>0</v>
      </c>
      <c r="F31" s="221">
        <f t="shared" si="1"/>
        <v>0</v>
      </c>
    </row>
    <row r="32" spans="2:10" x14ac:dyDescent="0.4">
      <c r="B32" s="161">
        <f>_chw6</f>
        <v>0</v>
      </c>
      <c r="C32" s="221">
        <f t="shared" si="2"/>
        <v>0</v>
      </c>
      <c r="D32" s="221">
        <f t="shared" si="1"/>
        <v>0</v>
      </c>
      <c r="E32" s="221">
        <f t="shared" si="1"/>
        <v>0</v>
      </c>
      <c r="F32" s="221">
        <f t="shared" si="1"/>
        <v>0</v>
      </c>
    </row>
    <row r="33" spans="2:9" ht="15" thickBot="1" x14ac:dyDescent="0.45">
      <c r="B33" s="161" t="s">
        <v>113</v>
      </c>
      <c r="C33" s="221">
        <f t="shared" si="2"/>
        <v>0</v>
      </c>
      <c r="D33" s="221">
        <f t="shared" si="1"/>
        <v>0</v>
      </c>
      <c r="E33" s="221">
        <f t="shared" si="1"/>
        <v>0</v>
      </c>
      <c r="F33" s="221">
        <f t="shared" si="1"/>
        <v>0</v>
      </c>
    </row>
    <row r="34" spans="2:9" ht="15" thickBot="1" x14ac:dyDescent="0.45">
      <c r="B34" s="160" t="s">
        <v>99</v>
      </c>
      <c r="C34" s="215">
        <f>IF(C$24=0,0,IF(ROUND(SUM(C27:C33),0.1)=1,1,"Error"))</f>
        <v>0</v>
      </c>
      <c r="D34" s="215">
        <f t="shared" ref="D34:F34" si="3">IF(D$24=0,0,IF(ROUND(SUM(D27:D33),0.1)=1,1,"Error"))</f>
        <v>0</v>
      </c>
      <c r="E34" s="215">
        <f t="shared" si="3"/>
        <v>0</v>
      </c>
      <c r="F34" s="215">
        <f t="shared" si="3"/>
        <v>0</v>
      </c>
    </row>
    <row r="36" spans="2:9" ht="15" thickBot="1" x14ac:dyDescent="0.45">
      <c r="B36" s="2" t="s">
        <v>122</v>
      </c>
      <c r="F36" s="208"/>
      <c r="G36" s="208"/>
      <c r="H36" s="208"/>
      <c r="I36" s="208"/>
    </row>
    <row r="37" spans="2:9" x14ac:dyDescent="0.4">
      <c r="B37" s="164">
        <f>_chw1</f>
        <v>0</v>
      </c>
      <c r="C37" s="210">
        <f>(SUMIF(CHW_Time!D$6:D$105,$B37,CHW_Time!I$6:I$105))/60</f>
        <v>0</v>
      </c>
      <c r="D37" s="210">
        <f>(SUMIF(CHW_Time!E$6:E$105,$B37,CHW_Time!J$6:J$105))/60</f>
        <v>0</v>
      </c>
      <c r="E37" s="210">
        <f>(SUMIF(CHW_Time!F$6:F$105,$B37,CHW_Time!K$6:K$105))/60</f>
        <v>0</v>
      </c>
      <c r="F37" s="210">
        <f>(SUMIF(CHW_Time!$D$6:$D$105,$B37,CHW_Time!L$6:L$105))/60</f>
        <v>0</v>
      </c>
    </row>
    <row r="38" spans="2:9" x14ac:dyDescent="0.4">
      <c r="B38" s="161">
        <f>_chw2</f>
        <v>0</v>
      </c>
      <c r="C38" s="139">
        <f>(SUMIF(CHW_Time!D$6:D$105,$B38,CHW_Time!I$6:I$105))/60</f>
        <v>0</v>
      </c>
      <c r="D38" s="139">
        <f>(SUMIF(CHW_Time!E$6:E$105,$B38,CHW_Time!J$6:J$105))/60</f>
        <v>0</v>
      </c>
      <c r="E38" s="139">
        <f>(SUMIF(CHW_Time!F$6:F$105,$B38,CHW_Time!K$6:K$105))/60</f>
        <v>0</v>
      </c>
      <c r="F38" s="139">
        <f>(SUMIF(CHW_Time!$D$6:$D$105,$B38,CHW_Time!L$6:L$105))/60</f>
        <v>0</v>
      </c>
    </row>
    <row r="39" spans="2:9" x14ac:dyDescent="0.4">
      <c r="B39" s="161">
        <f>_chw3</f>
        <v>0</v>
      </c>
      <c r="C39" s="139">
        <f>(SUMIF(CHW_Time!D$6:D$105,$B39,CHW_Time!I$6:I$105))/60</f>
        <v>0</v>
      </c>
      <c r="D39" s="139">
        <f>(SUMIF(CHW_Time!E$6:E$105,$B39,CHW_Time!J$6:J$105))/60</f>
        <v>0</v>
      </c>
      <c r="E39" s="139">
        <f>(SUMIF(CHW_Time!F$6:F$105,$B39,CHW_Time!K$6:K$105))/60</f>
        <v>0</v>
      </c>
      <c r="F39" s="139">
        <f>(SUMIF(CHW_Time!$D$6:$D$105,$B39,CHW_Time!L$6:L$105))/60</f>
        <v>0</v>
      </c>
    </row>
    <row r="40" spans="2:9" x14ac:dyDescent="0.4">
      <c r="B40" s="161">
        <f>_chw4</f>
        <v>0</v>
      </c>
      <c r="C40" s="139">
        <f>(SUMIF(CHW_Time!D$6:D$105,$B40,CHW_Time!I$6:I$105))/60</f>
        <v>0</v>
      </c>
      <c r="D40" s="139">
        <f>(SUMIF(CHW_Time!E$6:E$105,$B40,CHW_Time!J$6:J$105))/60</f>
        <v>0</v>
      </c>
      <c r="E40" s="139">
        <f>(SUMIF(CHW_Time!F$6:F$105,$B40,CHW_Time!K$6:K$105))/60</f>
        <v>0</v>
      </c>
      <c r="F40" s="139">
        <f>(SUMIF(CHW_Time!$D$6:$D$105,$B40,CHW_Time!L$6:L$105))/60</f>
        <v>0</v>
      </c>
    </row>
    <row r="41" spans="2:9" x14ac:dyDescent="0.4">
      <c r="B41" s="161">
        <f>_chw5</f>
        <v>0</v>
      </c>
      <c r="C41" s="139">
        <f>(SUMIF(CHW_Time!D$6:D$105,$B41,CHW_Time!I$6:I$105))/60</f>
        <v>0</v>
      </c>
      <c r="D41" s="139">
        <f>(SUMIF(CHW_Time!E$6:E$105,$B41,CHW_Time!J$6:J$105))/60</f>
        <v>0</v>
      </c>
      <c r="E41" s="139">
        <f>(SUMIF(CHW_Time!F$6:F$105,$B41,CHW_Time!K$6:K$105))/60</f>
        <v>0</v>
      </c>
      <c r="F41" s="139">
        <f>(SUMIF(CHW_Time!$D$6:$D$105,$B41,CHW_Time!L$6:L$105))/60</f>
        <v>0</v>
      </c>
    </row>
    <row r="42" spans="2:9" x14ac:dyDescent="0.4">
      <c r="B42" s="161">
        <f>_chw6</f>
        <v>0</v>
      </c>
      <c r="C42" s="139">
        <f>(SUMIF(CHW_Time!D$6:D$105,$B42,CHW_Time!I$6:I$105))/60</f>
        <v>0</v>
      </c>
      <c r="D42" s="139">
        <f>(SUMIF(CHW_Time!E$6:E$105,$B42,CHW_Time!J$6:J$105))/60</f>
        <v>0</v>
      </c>
      <c r="E42" s="139">
        <f>(SUMIF(CHW_Time!F$6:F$105,$B42,CHW_Time!K$6:K$105))/60</f>
        <v>0</v>
      </c>
      <c r="F42" s="139">
        <f>(SUMIF(CHW_Time!$D$6:$D$105,$B42,CHW_Time!L$6:L$105))/60</f>
        <v>0</v>
      </c>
    </row>
    <row r="43" spans="2:9" ht="15" thickBot="1" x14ac:dyDescent="0.45">
      <c r="B43" s="161" t="s">
        <v>113</v>
      </c>
      <c r="C43" s="139">
        <f>(SUMIF(CHW_Time!D$6:D$105,$B43,CHW_Time!I$6:I$105))/60</f>
        <v>0</v>
      </c>
      <c r="D43" s="139">
        <f>(SUMIF(CHW_Time!E$6:E$105,$B43,CHW_Time!J$6:J$105))/60</f>
        <v>0</v>
      </c>
      <c r="E43" s="139">
        <f>(SUMIF(CHW_Time!F$6:F$105,$B43,CHW_Time!K$6:K$105))/60</f>
        <v>0</v>
      </c>
      <c r="F43" s="139">
        <f>(SUMIF(CHW_Time!$D$6:$D$105,$B43,CHW_Time!L$6:L$105))/60</f>
        <v>0</v>
      </c>
    </row>
    <row r="44" spans="2:9" ht="15" thickBot="1" x14ac:dyDescent="0.45">
      <c r="B44" s="160" t="s">
        <v>99</v>
      </c>
      <c r="C44" s="211">
        <f>IF(ROUND(SUM(C37:C43),0.01)=ROUND(CHW_Time!I4/60,0.01),CHW_Time!I4/60,"Error")</f>
        <v>0</v>
      </c>
      <c r="D44" s="211">
        <f>IF(ROUND(SUM(D37:D43),0.01)=ROUND(CHW_Time!J4/60,0.01),CHW_Time!J4/60,"Error")</f>
        <v>0</v>
      </c>
      <c r="E44" s="211">
        <f>IF(ROUND(SUM(E37:E43),0.01)=ROUND(CHW_Time!K4/60,0.01),CHW_Time!K4/60,"Error")</f>
        <v>0</v>
      </c>
      <c r="F44" s="211">
        <f>IF(ROUND(SUM(F37:F43),0.01)=ROUND(CHW_Time!L4/60,0.01),CHW_Time!L4/60,"Error")</f>
        <v>0</v>
      </c>
    </row>
    <row r="46" spans="2:9" ht="15" thickBot="1" x14ac:dyDescent="0.45">
      <c r="B46" s="2" t="s">
        <v>133</v>
      </c>
      <c r="F46" s="208"/>
    </row>
    <row r="47" spans="2:9" x14ac:dyDescent="0.4">
      <c r="B47" s="164">
        <f>_chw1</f>
        <v>0</v>
      </c>
      <c r="C47" s="210" t="e">
        <f>C37+(C$43*(CHW_Numbers!C106/CHW_Numbers!C$112))</f>
        <v>#DIV/0!</v>
      </c>
      <c r="D47" s="210" t="e">
        <f>D37+(D$43*(CHW_Numbers!D106/CHW_Numbers!D$112))</f>
        <v>#DIV/0!</v>
      </c>
      <c r="E47" s="210" t="e">
        <f>E37+(E$43*(CHW_Numbers!E106/CHW_Numbers!E$112))</f>
        <v>#DIV/0!</v>
      </c>
      <c r="F47" s="210" t="e">
        <f>F37+(F$43*(CHW_Numbers!F106/CHW_Numbers!F$112))</f>
        <v>#DIV/0!</v>
      </c>
    </row>
    <row r="48" spans="2:9" x14ac:dyDescent="0.4">
      <c r="B48" s="161">
        <f>_chw2</f>
        <v>0</v>
      </c>
      <c r="C48" s="139" t="e">
        <f>C38+(C$43*(CHW_Numbers!C107/CHW_Numbers!C$112))</f>
        <v>#DIV/0!</v>
      </c>
      <c r="D48" s="139" t="e">
        <f>D38+(D$43*(CHW_Numbers!D107/CHW_Numbers!D$112))</f>
        <v>#DIV/0!</v>
      </c>
      <c r="E48" s="139" t="e">
        <f>E38+(E$43*(CHW_Numbers!E107/CHW_Numbers!E$112))</f>
        <v>#DIV/0!</v>
      </c>
      <c r="F48" s="139" t="e">
        <f>F38+(F$43*(CHW_Numbers!F107/CHW_Numbers!F$112))</f>
        <v>#DIV/0!</v>
      </c>
    </row>
    <row r="49" spans="2:8" x14ac:dyDescent="0.4">
      <c r="B49" s="161">
        <f>_chw3</f>
        <v>0</v>
      </c>
      <c r="C49" s="139" t="e">
        <f>C39+(C$43*(CHW_Numbers!C108/CHW_Numbers!C$112))</f>
        <v>#DIV/0!</v>
      </c>
      <c r="D49" s="139" t="e">
        <f>D39+(D$43*(CHW_Numbers!D108/CHW_Numbers!D$112))</f>
        <v>#DIV/0!</v>
      </c>
      <c r="E49" s="139" t="e">
        <f>E39+(E$43*(CHW_Numbers!E108/CHW_Numbers!E$112))</f>
        <v>#DIV/0!</v>
      </c>
      <c r="F49" s="139" t="e">
        <f>F39+(F$43*(CHW_Numbers!F108/CHW_Numbers!F$112))</f>
        <v>#DIV/0!</v>
      </c>
    </row>
    <row r="50" spans="2:8" x14ac:dyDescent="0.4">
      <c r="B50" s="161">
        <f>_chw4</f>
        <v>0</v>
      </c>
      <c r="C50" s="139" t="e">
        <f>C40+(C$43*(CHW_Numbers!C109/CHW_Numbers!C$112))</f>
        <v>#DIV/0!</v>
      </c>
      <c r="D50" s="139" t="e">
        <f>D40+(D$43*(CHW_Numbers!D109/CHW_Numbers!D$112))</f>
        <v>#DIV/0!</v>
      </c>
      <c r="E50" s="139" t="e">
        <f>E40+(E$43*(CHW_Numbers!E109/CHW_Numbers!E$112))</f>
        <v>#DIV/0!</v>
      </c>
      <c r="F50" s="139" t="e">
        <f>F40+(F$43*(CHW_Numbers!F109/CHW_Numbers!F$112))</f>
        <v>#DIV/0!</v>
      </c>
    </row>
    <row r="51" spans="2:8" x14ac:dyDescent="0.4">
      <c r="B51" s="161">
        <f>_chw5</f>
        <v>0</v>
      </c>
      <c r="C51" s="139" t="e">
        <f>C41+(C$43*(CHW_Numbers!C110/CHW_Numbers!C$112))</f>
        <v>#DIV/0!</v>
      </c>
      <c r="D51" s="139" t="e">
        <f>D41+(D$43*(CHW_Numbers!D110/CHW_Numbers!D$112))</f>
        <v>#DIV/0!</v>
      </c>
      <c r="E51" s="139" t="e">
        <f>E41+(E$43*(CHW_Numbers!E110/CHW_Numbers!E$112))</f>
        <v>#DIV/0!</v>
      </c>
      <c r="F51" s="139" t="e">
        <f>F41+(F$43*(CHW_Numbers!F110/CHW_Numbers!F$112))</f>
        <v>#DIV/0!</v>
      </c>
    </row>
    <row r="52" spans="2:8" ht="15" thickBot="1" x14ac:dyDescent="0.45">
      <c r="B52" s="161">
        <f>_chw6</f>
        <v>0</v>
      </c>
      <c r="C52" s="139" t="e">
        <f>C42+(C$43*(CHW_Numbers!C111/CHW_Numbers!C$112))</f>
        <v>#DIV/0!</v>
      </c>
      <c r="D52" s="139" t="e">
        <f>D42+(D$43*(CHW_Numbers!D111/CHW_Numbers!D$112))</f>
        <v>#DIV/0!</v>
      </c>
      <c r="E52" s="139" t="e">
        <f>E42+(E$43*(CHW_Numbers!E111/CHW_Numbers!E$112))</f>
        <v>#DIV/0!</v>
      </c>
      <c r="F52" s="139" t="e">
        <f>F42+(F$43*(CHW_Numbers!F111/CHW_Numbers!F$112))</f>
        <v>#DIV/0!</v>
      </c>
    </row>
    <row r="53" spans="2:8" ht="15" thickBot="1" x14ac:dyDescent="0.45">
      <c r="B53" s="160" t="s">
        <v>99</v>
      </c>
      <c r="C53" s="211" t="e">
        <f>IF(ROUND(SUM(C47:C52),0.01)=ROUND(C44,0.01),SUM(C47:C52),"Error")</f>
        <v>#DIV/0!</v>
      </c>
      <c r="D53" s="211" t="e">
        <f t="shared" ref="D53:F53" si="4">IF(ROUND(SUM(D47:D52),0.01)=ROUND(D44,0.01),SUM(D47:D52),"Error")</f>
        <v>#DIV/0!</v>
      </c>
      <c r="E53" s="211" t="e">
        <f t="shared" si="4"/>
        <v>#DIV/0!</v>
      </c>
      <c r="F53" s="211" t="e">
        <f t="shared" si="4"/>
        <v>#DIV/0!</v>
      </c>
    </row>
    <row r="54" spans="2:8" x14ac:dyDescent="0.4">
      <c r="C54" s="170"/>
    </row>
    <row r="55" spans="2:8" ht="15" thickBot="1" x14ac:dyDescent="0.45">
      <c r="B55" s="2" t="s">
        <v>134</v>
      </c>
    </row>
    <row r="56" spans="2:8" x14ac:dyDescent="0.4">
      <c r="B56" s="164">
        <f>_chw1</f>
        <v>0</v>
      </c>
      <c r="C56" s="210">
        <f>CHW_Numbers!C$115*C7</f>
        <v>0</v>
      </c>
      <c r="D56" s="210">
        <f>CHW_Numbers!D$115*D7</f>
        <v>0</v>
      </c>
      <c r="E56" s="210">
        <f>CHW_Numbers!E$115*E7</f>
        <v>0</v>
      </c>
      <c r="F56" s="210">
        <f>CHW_Numbers!F$115*F7</f>
        <v>0</v>
      </c>
      <c r="H56" s="170" t="e">
        <f>C56/200/C7</f>
        <v>#DIV/0!</v>
      </c>
    </row>
    <row r="57" spans="2:8" x14ac:dyDescent="0.4">
      <c r="B57" s="161">
        <f>_chw2</f>
        <v>0</v>
      </c>
      <c r="C57" s="139">
        <f>CHW_Numbers!C$119*C8</f>
        <v>0</v>
      </c>
      <c r="D57" s="139">
        <f>CHW_Numbers!D$119*D8</f>
        <v>0</v>
      </c>
      <c r="E57" s="139">
        <f>CHW_Numbers!E$119*E8</f>
        <v>0</v>
      </c>
      <c r="F57" s="139">
        <f>CHW_Numbers!F$119*F8</f>
        <v>0</v>
      </c>
    </row>
    <row r="58" spans="2:8" x14ac:dyDescent="0.4">
      <c r="B58" s="161">
        <f>_chw3</f>
        <v>0</v>
      </c>
      <c r="C58" s="139">
        <f>CHW_Numbers!C$123*C9</f>
        <v>0</v>
      </c>
      <c r="D58" s="139">
        <f>CHW_Numbers!D$123*D9</f>
        <v>0</v>
      </c>
      <c r="E58" s="139">
        <f>CHW_Numbers!E$123*E9</f>
        <v>0</v>
      </c>
      <c r="F58" s="139">
        <f>CHW_Numbers!F$123*F9</f>
        <v>0</v>
      </c>
    </row>
    <row r="59" spans="2:8" x14ac:dyDescent="0.4">
      <c r="B59" s="161">
        <f>_chw4</f>
        <v>0</v>
      </c>
      <c r="C59" s="139">
        <f>CHW_Numbers!C$127*C10</f>
        <v>0</v>
      </c>
      <c r="D59" s="139">
        <f>CHW_Numbers!D$127*D10</f>
        <v>0</v>
      </c>
      <c r="E59" s="139">
        <f>CHW_Numbers!E$127*E10</f>
        <v>0</v>
      </c>
      <c r="F59" s="139">
        <f>CHW_Numbers!F$127*F10</f>
        <v>0</v>
      </c>
    </row>
    <row r="60" spans="2:8" x14ac:dyDescent="0.4">
      <c r="B60" s="161">
        <f>_chw5</f>
        <v>0</v>
      </c>
      <c r="C60" s="139">
        <f>CHW_Numbers!C$131*C11</f>
        <v>0</v>
      </c>
      <c r="D60" s="139">
        <f>CHW_Numbers!D$131*D11</f>
        <v>0</v>
      </c>
      <c r="E60" s="139">
        <f>CHW_Numbers!E$131*E11</f>
        <v>0</v>
      </c>
      <c r="F60" s="139">
        <f>CHW_Numbers!F$131*F11</f>
        <v>0</v>
      </c>
    </row>
    <row r="61" spans="2:8" ht="15" thickBot="1" x14ac:dyDescent="0.45">
      <c r="B61" s="161">
        <f>_chw6</f>
        <v>0</v>
      </c>
      <c r="C61" s="139">
        <f>CHW_Numbers!C$135*C12</f>
        <v>0</v>
      </c>
      <c r="D61" s="139">
        <f>CHW_Numbers!D$135*D12</f>
        <v>0</v>
      </c>
      <c r="E61" s="139">
        <f>CHW_Numbers!E$135*E12</f>
        <v>0</v>
      </c>
      <c r="F61" s="139">
        <f>CHW_Numbers!F$135*F12</f>
        <v>0</v>
      </c>
    </row>
    <row r="62" spans="2:8" ht="15" thickBot="1" x14ac:dyDescent="0.45">
      <c r="B62" s="160" t="s">
        <v>99</v>
      </c>
      <c r="C62" s="211">
        <f t="shared" ref="C62:F62" si="5">SUM(C56:C61)</f>
        <v>0</v>
      </c>
      <c r="D62" s="211">
        <f t="shared" si="5"/>
        <v>0</v>
      </c>
      <c r="E62" s="211">
        <f t="shared" si="5"/>
        <v>0</v>
      </c>
      <c r="F62" s="211">
        <f t="shared" si="5"/>
        <v>0</v>
      </c>
    </row>
    <row r="64" spans="2:8" ht="15" thickBot="1" x14ac:dyDescent="0.45">
      <c r="B64" s="2" t="s">
        <v>135</v>
      </c>
    </row>
    <row r="65" spans="1:7" x14ac:dyDescent="0.4">
      <c r="B65" s="164">
        <f>_chw1</f>
        <v>0</v>
      </c>
      <c r="C65" s="213">
        <f t="shared" ref="C65:F70" si="6">IFERROR(IF($B65=0,0,(C47/C56)),0)</f>
        <v>0</v>
      </c>
      <c r="D65" s="213">
        <f t="shared" si="6"/>
        <v>0</v>
      </c>
      <c r="E65" s="213">
        <f t="shared" si="6"/>
        <v>0</v>
      </c>
      <c r="F65" s="213">
        <f t="shared" si="6"/>
        <v>0</v>
      </c>
    </row>
    <row r="66" spans="1:7" x14ac:dyDescent="0.4">
      <c r="B66" s="161">
        <f>_chw2</f>
        <v>0</v>
      </c>
      <c r="C66" s="214">
        <f t="shared" si="6"/>
        <v>0</v>
      </c>
      <c r="D66" s="214">
        <f t="shared" si="6"/>
        <v>0</v>
      </c>
      <c r="E66" s="214">
        <f t="shared" si="6"/>
        <v>0</v>
      </c>
      <c r="F66" s="214">
        <f t="shared" si="6"/>
        <v>0</v>
      </c>
    </row>
    <row r="67" spans="1:7" x14ac:dyDescent="0.4">
      <c r="B67" s="161">
        <f>_chw3</f>
        <v>0</v>
      </c>
      <c r="C67" s="214">
        <f t="shared" si="6"/>
        <v>0</v>
      </c>
      <c r="D67" s="214">
        <f t="shared" si="6"/>
        <v>0</v>
      </c>
      <c r="E67" s="214">
        <f t="shared" si="6"/>
        <v>0</v>
      </c>
      <c r="F67" s="214">
        <f t="shared" si="6"/>
        <v>0</v>
      </c>
    </row>
    <row r="68" spans="1:7" x14ac:dyDescent="0.4">
      <c r="B68" s="161">
        <f>_chw4</f>
        <v>0</v>
      </c>
      <c r="C68" s="214">
        <f t="shared" si="6"/>
        <v>0</v>
      </c>
      <c r="D68" s="214">
        <f t="shared" si="6"/>
        <v>0</v>
      </c>
      <c r="E68" s="214">
        <f t="shared" si="6"/>
        <v>0</v>
      </c>
      <c r="F68" s="214">
        <f t="shared" si="6"/>
        <v>0</v>
      </c>
    </row>
    <row r="69" spans="1:7" x14ac:dyDescent="0.4">
      <c r="B69" s="161">
        <f>_chw5</f>
        <v>0</v>
      </c>
      <c r="C69" s="214">
        <f t="shared" si="6"/>
        <v>0</v>
      </c>
      <c r="D69" s="214">
        <f t="shared" si="6"/>
        <v>0</v>
      </c>
      <c r="E69" s="214">
        <f t="shared" si="6"/>
        <v>0</v>
      </c>
      <c r="F69" s="214">
        <f t="shared" si="6"/>
        <v>0</v>
      </c>
    </row>
    <row r="70" spans="1:7" ht="15" thickBot="1" x14ac:dyDescent="0.45">
      <c r="B70" s="163">
        <f>_chw6</f>
        <v>0</v>
      </c>
      <c r="C70" s="214">
        <f t="shared" si="6"/>
        <v>0</v>
      </c>
      <c r="D70" s="214">
        <f t="shared" si="6"/>
        <v>0</v>
      </c>
      <c r="E70" s="214">
        <f t="shared" si="6"/>
        <v>0</v>
      </c>
      <c r="F70" s="214">
        <f t="shared" si="6"/>
        <v>0</v>
      </c>
    </row>
    <row r="71" spans="1:7" ht="15" thickBot="1" x14ac:dyDescent="0.45">
      <c r="B71" s="160" t="s">
        <v>136</v>
      </c>
      <c r="C71" s="215" t="e">
        <f t="shared" ref="C71:F71" si="7">C44/C62</f>
        <v>#DIV/0!</v>
      </c>
      <c r="D71" s="215" t="e">
        <f t="shared" si="7"/>
        <v>#DIV/0!</v>
      </c>
      <c r="E71" s="215" t="e">
        <f t="shared" si="7"/>
        <v>#DIV/0!</v>
      </c>
      <c r="F71" s="215" t="e">
        <f t="shared" si="7"/>
        <v>#DIV/0!</v>
      </c>
    </row>
    <row r="73" spans="1:7" ht="15" thickBot="1" x14ac:dyDescent="0.45">
      <c r="C73" s="112">
        <v>2</v>
      </c>
      <c r="D73" s="112">
        <v>3</v>
      </c>
      <c r="E73" s="112">
        <v>4</v>
      </c>
      <c r="F73" s="112">
        <v>5</v>
      </c>
    </row>
    <row r="74" spans="1:7" x14ac:dyDescent="0.4">
      <c r="A74">
        <v>1</v>
      </c>
      <c r="B74" s="222">
        <f>'3. Intervention Details'!B6</f>
        <v>0</v>
      </c>
      <c r="C74" s="223">
        <f>IF(B74=0,0,(Service_Numbers!L6/(VLOOKUP($G74,$B$7:$F$13,C$73,FALSE)))/52)</f>
        <v>0</v>
      </c>
      <c r="D74" s="223">
        <f>IF(C74=0,0,(Service_Numbers!M6/(VLOOKUP($G74,$B$7:$F$13,D$73,FALSE)))/52)</f>
        <v>0</v>
      </c>
      <c r="E74" s="223">
        <f>IF(D74=0,0,(Service_Numbers!N6/(VLOOKUP($G74,$B$7:$F$13,E$73,FALSE)))/52)</f>
        <v>0</v>
      </c>
      <c r="F74" s="223">
        <f>IF(E74=0,0,(Service_Numbers!O6/(VLOOKUP($G74,$B$7:$F$13,F$73,FALSE)))/52)</f>
        <v>0</v>
      </c>
      <c r="G74" s="112" t="str">
        <f>Service_Numbers!AA6</f>
        <v/>
      </c>
    </row>
    <row r="75" spans="1:7" x14ac:dyDescent="0.4">
      <c r="A75">
        <v>2</v>
      </c>
      <c r="B75" s="98">
        <f>'3. Intervention Details'!B7</f>
        <v>0</v>
      </c>
      <c r="C75" s="224">
        <f>IF(B75=0,0,(Service_Numbers!L7/(VLOOKUP($G75,$B$7:$F$13,C$73,FALSE)))/52)</f>
        <v>0</v>
      </c>
      <c r="D75" s="224">
        <f>IF(C75=0,0,(Service_Numbers!M7/(VLOOKUP($G75,$B$7:$F$13,D$73,FALSE)))/52)</f>
        <v>0</v>
      </c>
      <c r="E75" s="224">
        <f>IF(D75=0,0,(Service_Numbers!N7/(VLOOKUP($G75,$B$7:$F$13,E$73,FALSE)))/52)</f>
        <v>0</v>
      </c>
      <c r="F75" s="224">
        <f>IF(E75=0,0,(Service_Numbers!O7/(VLOOKUP($G75,$B$7:$F$13,F$73,FALSE)))/52)</f>
        <v>0</v>
      </c>
      <c r="G75" s="112" t="str">
        <f>Service_Numbers!AA7</f>
        <v/>
      </c>
    </row>
    <row r="76" spans="1:7" x14ac:dyDescent="0.4">
      <c r="A76">
        <v>3</v>
      </c>
      <c r="B76" s="98">
        <f>'3. Intervention Details'!B8</f>
        <v>0</v>
      </c>
      <c r="C76" s="224">
        <f>IF(B76=0,0,(Service_Numbers!L8/(VLOOKUP($G76,$B$7:$F$13,C$73,FALSE)))/52)</f>
        <v>0</v>
      </c>
      <c r="D76" s="224">
        <f>IF(C76=0,0,(Service_Numbers!M8/(VLOOKUP($G76,$B$7:$F$13,D$73,FALSE)))/52)</f>
        <v>0</v>
      </c>
      <c r="E76" s="224">
        <f>IF(D76=0,0,(Service_Numbers!N8/(VLOOKUP($G76,$B$7:$F$13,E$73,FALSE)))/52)</f>
        <v>0</v>
      </c>
      <c r="F76" s="224">
        <f>IF(E76=0,0,(Service_Numbers!O8/(VLOOKUP($G76,$B$7:$F$13,F$73,FALSE)))/52)</f>
        <v>0</v>
      </c>
      <c r="G76" s="112" t="str">
        <f>Service_Numbers!AA8</f>
        <v/>
      </c>
    </row>
    <row r="77" spans="1:7" x14ac:dyDescent="0.4">
      <c r="A77">
        <v>4</v>
      </c>
      <c r="B77" s="98">
        <f>'3. Intervention Details'!B9</f>
        <v>0</v>
      </c>
      <c r="C77" s="224">
        <f>IF(B77=0,0,(Service_Numbers!L9/(VLOOKUP($G77,$B$7:$F$13,C$73,FALSE)))/52)</f>
        <v>0</v>
      </c>
      <c r="D77" s="224">
        <f>IF(C77=0,0,(Service_Numbers!M9/(VLOOKUP($G77,$B$7:$F$13,D$73,FALSE)))/52)</f>
        <v>0</v>
      </c>
      <c r="E77" s="224">
        <f>IF(D77=0,0,(Service_Numbers!N9/(VLOOKUP($G77,$B$7:$F$13,E$73,FALSE)))/52)</f>
        <v>0</v>
      </c>
      <c r="F77" s="224">
        <f>IF(E77=0,0,(Service_Numbers!O9/(VLOOKUP($G77,$B$7:$F$13,F$73,FALSE)))/52)</f>
        <v>0</v>
      </c>
      <c r="G77" s="112" t="str">
        <f>Service_Numbers!AA9</f>
        <v/>
      </c>
    </row>
    <row r="78" spans="1:7" x14ac:dyDescent="0.4">
      <c r="A78">
        <v>5</v>
      </c>
      <c r="B78" s="98">
        <f>'3. Intervention Details'!B10</f>
        <v>0</v>
      </c>
      <c r="C78" s="224">
        <f>IF(B78=0,0,(Service_Numbers!L10/(VLOOKUP($G78,$B$7:$F$13,C$73,FALSE)))/52)</f>
        <v>0</v>
      </c>
      <c r="D78" s="224">
        <f>IF(C78=0,0,(Service_Numbers!M10/(VLOOKUP($G78,$B$7:$F$13,D$73,FALSE)))/52)</f>
        <v>0</v>
      </c>
      <c r="E78" s="224">
        <f>IF(D78=0,0,(Service_Numbers!N10/(VLOOKUP($G78,$B$7:$F$13,E$73,FALSE)))/52)</f>
        <v>0</v>
      </c>
      <c r="F78" s="224">
        <f>IF(E78=0,0,(Service_Numbers!O10/(VLOOKUP($G78,$B$7:$F$13,F$73,FALSE)))/52)</f>
        <v>0</v>
      </c>
      <c r="G78" s="112" t="str">
        <f>Service_Numbers!AA10</f>
        <v/>
      </c>
    </row>
    <row r="79" spans="1:7" x14ac:dyDescent="0.4">
      <c r="A79">
        <v>6</v>
      </c>
      <c r="B79" s="98">
        <f>'3. Intervention Details'!B11</f>
        <v>0</v>
      </c>
      <c r="C79" s="224">
        <f>IF(B79=0,0,(Service_Numbers!L11/(VLOOKUP($G79,$B$7:$F$13,C$73,FALSE)))/52)</f>
        <v>0</v>
      </c>
      <c r="D79" s="224">
        <f>IF(C79=0,0,(Service_Numbers!M11/(VLOOKUP($G79,$B$7:$F$13,D$73,FALSE)))/52)</f>
        <v>0</v>
      </c>
      <c r="E79" s="224">
        <f>IF(D79=0,0,(Service_Numbers!N11/(VLOOKUP($G79,$B$7:$F$13,E$73,FALSE)))/52)</f>
        <v>0</v>
      </c>
      <c r="F79" s="224">
        <f>IF(E79=0,0,(Service_Numbers!O11/(VLOOKUP($G79,$B$7:$F$13,F$73,FALSE)))/52)</f>
        <v>0</v>
      </c>
      <c r="G79" s="112" t="str">
        <f>Service_Numbers!AA11</f>
        <v/>
      </c>
    </row>
    <row r="80" spans="1:7" x14ac:dyDescent="0.4">
      <c r="A80">
        <v>7</v>
      </c>
      <c r="B80" s="98">
        <f>'3. Intervention Details'!B12</f>
        <v>0</v>
      </c>
      <c r="C80" s="224">
        <f>IF(B80=0,0,(Service_Numbers!L12/(VLOOKUP($G80,$B$7:$F$13,C$73,FALSE)))/52)</f>
        <v>0</v>
      </c>
      <c r="D80" s="224">
        <f>IF(C80=0,0,(Service_Numbers!M12/(VLOOKUP($G80,$B$7:$F$13,D$73,FALSE)))/52)</f>
        <v>0</v>
      </c>
      <c r="E80" s="224">
        <f>IF(D80=0,0,(Service_Numbers!N12/(VLOOKUP($G80,$B$7:$F$13,E$73,FALSE)))/52)</f>
        <v>0</v>
      </c>
      <c r="F80" s="224">
        <f>IF(E80=0,0,(Service_Numbers!O12/(VLOOKUP($G80,$B$7:$F$13,F$73,FALSE)))/52)</f>
        <v>0</v>
      </c>
      <c r="G80" s="112" t="str">
        <f>Service_Numbers!AA12</f>
        <v/>
      </c>
    </row>
    <row r="81" spans="1:7" x14ac:dyDescent="0.4">
      <c r="A81">
        <v>8</v>
      </c>
      <c r="B81" s="98">
        <f>'3. Intervention Details'!B13</f>
        <v>0</v>
      </c>
      <c r="C81" s="224">
        <f>IF(B81=0,0,(Service_Numbers!L13/(VLOOKUP($G81,$B$7:$F$13,C$73,FALSE)))/52)</f>
        <v>0</v>
      </c>
      <c r="D81" s="224">
        <f>IF(C81=0,0,(Service_Numbers!M13/(VLOOKUP($G81,$B$7:$F$13,D$73,FALSE)))/52)</f>
        <v>0</v>
      </c>
      <c r="E81" s="224">
        <f>IF(D81=0,0,(Service_Numbers!N13/(VLOOKUP($G81,$B$7:$F$13,E$73,FALSE)))/52)</f>
        <v>0</v>
      </c>
      <c r="F81" s="224">
        <f>IF(E81=0,0,(Service_Numbers!O13/(VLOOKUP($G81,$B$7:$F$13,F$73,FALSE)))/52)</f>
        <v>0</v>
      </c>
      <c r="G81" s="112" t="str">
        <f>Service_Numbers!AA13</f>
        <v/>
      </c>
    </row>
    <row r="82" spans="1:7" x14ac:dyDescent="0.4">
      <c r="A82">
        <v>9</v>
      </c>
      <c r="B82" s="98">
        <f>'3. Intervention Details'!B14</f>
        <v>0</v>
      </c>
      <c r="C82" s="224">
        <f>IF(B82=0,0,(Service_Numbers!L14/(VLOOKUP($G82,$B$7:$F$13,C$73,FALSE)))/52)</f>
        <v>0</v>
      </c>
      <c r="D82" s="224">
        <f>IF(C82=0,0,(Service_Numbers!M14/(VLOOKUP($G82,$B$7:$F$13,D$73,FALSE)))/52)</f>
        <v>0</v>
      </c>
      <c r="E82" s="224">
        <f>IF(D82=0,0,(Service_Numbers!N14/(VLOOKUP($G82,$B$7:$F$13,E$73,FALSE)))/52)</f>
        <v>0</v>
      </c>
      <c r="F82" s="224">
        <f>IF(E82=0,0,(Service_Numbers!O14/(VLOOKUP($G82,$B$7:$F$13,F$73,FALSE)))/52)</f>
        <v>0</v>
      </c>
      <c r="G82" s="112" t="str">
        <f>Service_Numbers!AA14</f>
        <v/>
      </c>
    </row>
    <row r="83" spans="1:7" x14ac:dyDescent="0.4">
      <c r="A83">
        <v>10</v>
      </c>
      <c r="B83" s="98">
        <f>'3. Intervention Details'!B15</f>
        <v>0</v>
      </c>
      <c r="C83" s="224">
        <f>IF(B83=0,0,(Service_Numbers!L15/(VLOOKUP($G83,$B$7:$F$13,C$73,FALSE)))/52)</f>
        <v>0</v>
      </c>
      <c r="D83" s="224">
        <f>IF(C83=0,0,(Service_Numbers!M15/(VLOOKUP($G83,$B$7:$F$13,D$73,FALSE)))/52)</f>
        <v>0</v>
      </c>
      <c r="E83" s="224">
        <f>IF(D83=0,0,(Service_Numbers!N15/(VLOOKUP($G83,$B$7:$F$13,E$73,FALSE)))/52)</f>
        <v>0</v>
      </c>
      <c r="F83" s="224">
        <f>IF(E83=0,0,(Service_Numbers!O15/(VLOOKUP($G83,$B$7:$F$13,F$73,FALSE)))/52)</f>
        <v>0</v>
      </c>
      <c r="G83" s="112" t="str">
        <f>Service_Numbers!AA15</f>
        <v/>
      </c>
    </row>
    <row r="84" spans="1:7" x14ac:dyDescent="0.4">
      <c r="A84">
        <v>11</v>
      </c>
      <c r="B84" s="98">
        <f>'3. Intervention Details'!B16</f>
        <v>0</v>
      </c>
      <c r="C84" s="224">
        <f>IF(B84=0,0,(Service_Numbers!L16/(VLOOKUP($G84,$B$7:$F$13,C$73,FALSE)))/52)</f>
        <v>0</v>
      </c>
      <c r="D84" s="224">
        <f>IF(C84=0,0,(Service_Numbers!M16/(VLOOKUP($G84,$B$7:$F$13,D$73,FALSE)))/52)</f>
        <v>0</v>
      </c>
      <c r="E84" s="224">
        <f>IF(D84=0,0,(Service_Numbers!N16/(VLOOKUP($G84,$B$7:$F$13,E$73,FALSE)))/52)</f>
        <v>0</v>
      </c>
      <c r="F84" s="224">
        <f>IF(E84=0,0,(Service_Numbers!O16/(VLOOKUP($G84,$B$7:$F$13,F$73,FALSE)))/52)</f>
        <v>0</v>
      </c>
      <c r="G84" s="112" t="str">
        <f>Service_Numbers!AA16</f>
        <v/>
      </c>
    </row>
    <row r="85" spans="1:7" x14ac:dyDescent="0.4">
      <c r="A85">
        <v>12</v>
      </c>
      <c r="B85" s="98">
        <f>'3. Intervention Details'!B17</f>
        <v>0</v>
      </c>
      <c r="C85" s="224">
        <f>IF(B85=0,0,(Service_Numbers!L17/(VLOOKUP($G85,$B$7:$F$13,C$73,FALSE)))/52)</f>
        <v>0</v>
      </c>
      <c r="D85" s="224">
        <f>IF(C85=0,0,(Service_Numbers!M17/(VLOOKUP($G85,$B$7:$F$13,D$73,FALSE)))/52)</f>
        <v>0</v>
      </c>
      <c r="E85" s="224">
        <f>IF(D85=0,0,(Service_Numbers!N17/(VLOOKUP($G85,$B$7:$F$13,E$73,FALSE)))/52)</f>
        <v>0</v>
      </c>
      <c r="F85" s="224">
        <f>IF(E85=0,0,(Service_Numbers!O17/(VLOOKUP($G85,$B$7:$F$13,F$73,FALSE)))/52)</f>
        <v>0</v>
      </c>
      <c r="G85" s="112" t="str">
        <f>Service_Numbers!AA17</f>
        <v/>
      </c>
    </row>
    <row r="86" spans="1:7" x14ac:dyDescent="0.4">
      <c r="A86">
        <v>13</v>
      </c>
      <c r="B86" s="98">
        <f>'3. Intervention Details'!B18</f>
        <v>0</v>
      </c>
      <c r="C86" s="224">
        <f>IF(B86=0,0,(Service_Numbers!L18/(VLOOKUP($G86,$B$7:$F$13,C$73,FALSE)))/52)</f>
        <v>0</v>
      </c>
      <c r="D86" s="224">
        <f>IF(C86=0,0,(Service_Numbers!M18/(VLOOKUP($G86,$B$7:$F$13,D$73,FALSE)))/52)</f>
        <v>0</v>
      </c>
      <c r="E86" s="224">
        <f>IF(D86=0,0,(Service_Numbers!N18/(VLOOKUP($G86,$B$7:$F$13,E$73,FALSE)))/52)</f>
        <v>0</v>
      </c>
      <c r="F86" s="224">
        <f>IF(E86=0,0,(Service_Numbers!O18/(VLOOKUP($G86,$B$7:$F$13,F$73,FALSE)))/52)</f>
        <v>0</v>
      </c>
      <c r="G86" s="112" t="str">
        <f>Service_Numbers!AA18</f>
        <v/>
      </c>
    </row>
    <row r="87" spans="1:7" x14ac:dyDescent="0.4">
      <c r="A87">
        <v>14</v>
      </c>
      <c r="B87" s="98">
        <f>'3. Intervention Details'!B19</f>
        <v>0</v>
      </c>
      <c r="C87" s="224">
        <f>IF(B87=0,0,(Service_Numbers!L19/(VLOOKUP($G87,$B$7:$F$13,C$73,FALSE)))/52)</f>
        <v>0</v>
      </c>
      <c r="D87" s="224">
        <f>IF(C87=0,0,(Service_Numbers!M19/(VLOOKUP($G87,$B$7:$F$13,D$73,FALSE)))/52)</f>
        <v>0</v>
      </c>
      <c r="E87" s="224">
        <f>IF(D87=0,0,(Service_Numbers!N19/(VLOOKUP($G87,$B$7:$F$13,E$73,FALSE)))/52)</f>
        <v>0</v>
      </c>
      <c r="F87" s="224">
        <f>IF(E87=0,0,(Service_Numbers!O19/(VLOOKUP($G87,$B$7:$F$13,F$73,FALSE)))/52)</f>
        <v>0</v>
      </c>
      <c r="G87" s="112" t="str">
        <f>Service_Numbers!AA19</f>
        <v/>
      </c>
    </row>
    <row r="88" spans="1:7" x14ac:dyDescent="0.4">
      <c r="A88">
        <v>15</v>
      </c>
      <c r="B88" s="98">
        <f>'3. Intervention Details'!B20</f>
        <v>0</v>
      </c>
      <c r="C88" s="224">
        <f>IF(B88=0,0,(Service_Numbers!L20/(VLOOKUP($G88,$B$7:$F$13,C$73,FALSE)))/52)</f>
        <v>0</v>
      </c>
      <c r="D88" s="224">
        <f>IF(C88=0,0,(Service_Numbers!M20/(VLOOKUP($G88,$B$7:$F$13,D$73,FALSE)))/52)</f>
        <v>0</v>
      </c>
      <c r="E88" s="224">
        <f>IF(D88=0,0,(Service_Numbers!N20/(VLOOKUP($G88,$B$7:$F$13,E$73,FALSE)))/52)</f>
        <v>0</v>
      </c>
      <c r="F88" s="224">
        <f>IF(E88=0,0,(Service_Numbers!O20/(VLOOKUP($G88,$B$7:$F$13,F$73,FALSE)))/52)</f>
        <v>0</v>
      </c>
      <c r="G88" s="112" t="str">
        <f>Service_Numbers!AA20</f>
        <v/>
      </c>
    </row>
    <row r="89" spans="1:7" x14ac:dyDescent="0.4">
      <c r="A89">
        <v>16</v>
      </c>
      <c r="B89" s="98">
        <f>'3. Intervention Details'!B21</f>
        <v>0</v>
      </c>
      <c r="C89" s="224">
        <f>IF(B89=0,0,(Service_Numbers!L21/(VLOOKUP($G89,$B$7:$F$13,C$73,FALSE)))/52)</f>
        <v>0</v>
      </c>
      <c r="D89" s="224">
        <f>IF(C89=0,0,(Service_Numbers!M21/(VLOOKUP($G89,$B$7:$F$13,D$73,FALSE)))/52)</f>
        <v>0</v>
      </c>
      <c r="E89" s="224">
        <f>IF(D89=0,0,(Service_Numbers!N21/(VLOOKUP($G89,$B$7:$F$13,E$73,FALSE)))/52)</f>
        <v>0</v>
      </c>
      <c r="F89" s="224">
        <f>IF(E89=0,0,(Service_Numbers!O21/(VLOOKUP($G89,$B$7:$F$13,F$73,FALSE)))/52)</f>
        <v>0</v>
      </c>
      <c r="G89" s="112" t="str">
        <f>Service_Numbers!AA21</f>
        <v/>
      </c>
    </row>
    <row r="90" spans="1:7" x14ac:dyDescent="0.4">
      <c r="A90">
        <v>17</v>
      </c>
      <c r="B90" s="98">
        <f>'3. Intervention Details'!B22</f>
        <v>0</v>
      </c>
      <c r="C90" s="224">
        <f>IF(B90=0,0,(Service_Numbers!L22/(VLOOKUP($G90,$B$7:$F$13,C$73,FALSE)))/52)</f>
        <v>0</v>
      </c>
      <c r="D90" s="224">
        <f>IF(C90=0,0,(Service_Numbers!M22/(VLOOKUP($G90,$B$7:$F$13,D$73,FALSE)))/52)</f>
        <v>0</v>
      </c>
      <c r="E90" s="224">
        <f>IF(D90=0,0,(Service_Numbers!N22/(VLOOKUP($G90,$B$7:$F$13,E$73,FALSE)))/52)</f>
        <v>0</v>
      </c>
      <c r="F90" s="224">
        <f>IF(E90=0,0,(Service_Numbers!O22/(VLOOKUP($G90,$B$7:$F$13,F$73,FALSE)))/52)</f>
        <v>0</v>
      </c>
      <c r="G90" s="112" t="str">
        <f>Service_Numbers!AA22</f>
        <v/>
      </c>
    </row>
    <row r="91" spans="1:7" x14ac:dyDescent="0.4">
      <c r="A91">
        <v>18</v>
      </c>
      <c r="B91" s="98">
        <f>'3. Intervention Details'!B23</f>
        <v>0</v>
      </c>
      <c r="C91" s="224">
        <f>IF(B91=0,0,(Service_Numbers!L23/(VLOOKUP($G91,$B$7:$F$13,C$73,FALSE)))/52)</f>
        <v>0</v>
      </c>
      <c r="D91" s="224">
        <f>IF(C91=0,0,(Service_Numbers!M23/(VLOOKUP($G91,$B$7:$F$13,D$73,FALSE)))/52)</f>
        <v>0</v>
      </c>
      <c r="E91" s="224">
        <f>IF(D91=0,0,(Service_Numbers!N23/(VLOOKUP($G91,$B$7:$F$13,E$73,FALSE)))/52)</f>
        <v>0</v>
      </c>
      <c r="F91" s="224">
        <f>IF(E91=0,0,(Service_Numbers!O23/(VLOOKUP($G91,$B$7:$F$13,F$73,FALSE)))/52)</f>
        <v>0</v>
      </c>
      <c r="G91" s="112" t="str">
        <f>Service_Numbers!AA23</f>
        <v/>
      </c>
    </row>
    <row r="92" spans="1:7" x14ac:dyDescent="0.4">
      <c r="A92">
        <v>19</v>
      </c>
      <c r="B92" s="98">
        <f>'3. Intervention Details'!B24</f>
        <v>0</v>
      </c>
      <c r="C92" s="224">
        <f>IF(B92=0,0,(Service_Numbers!L24/(VLOOKUP($G92,$B$7:$F$13,C$73,FALSE)))/52)</f>
        <v>0</v>
      </c>
      <c r="D92" s="224">
        <f>IF(C92=0,0,(Service_Numbers!M24/(VLOOKUP($G92,$B$7:$F$13,D$73,FALSE)))/52)</f>
        <v>0</v>
      </c>
      <c r="E92" s="224">
        <f>IF(D92=0,0,(Service_Numbers!N24/(VLOOKUP($G92,$B$7:$F$13,E$73,FALSE)))/52)</f>
        <v>0</v>
      </c>
      <c r="F92" s="224">
        <f>IF(E92=0,0,(Service_Numbers!O24/(VLOOKUP($G92,$B$7:$F$13,F$73,FALSE)))/52)</f>
        <v>0</v>
      </c>
      <c r="G92" s="112" t="str">
        <f>Service_Numbers!AA24</f>
        <v/>
      </c>
    </row>
    <row r="93" spans="1:7" x14ac:dyDescent="0.4">
      <c r="A93">
        <v>20</v>
      </c>
      <c r="B93" s="98">
        <f>'3. Intervention Details'!B25</f>
        <v>0</v>
      </c>
      <c r="C93" s="224">
        <f>IF(B93=0,0,(Service_Numbers!L25/(VLOOKUP($G93,$B$7:$F$13,C$73,FALSE)))/52)</f>
        <v>0</v>
      </c>
      <c r="D93" s="224">
        <f>IF(C93=0,0,(Service_Numbers!M25/(VLOOKUP($G93,$B$7:$F$13,D$73,FALSE)))/52)</f>
        <v>0</v>
      </c>
      <c r="E93" s="224">
        <f>IF(D93=0,0,(Service_Numbers!N25/(VLOOKUP($G93,$B$7:$F$13,E$73,FALSE)))/52)</f>
        <v>0</v>
      </c>
      <c r="F93" s="224">
        <f>IF(E93=0,0,(Service_Numbers!O25/(VLOOKUP($G93,$B$7:$F$13,F$73,FALSE)))/52)</f>
        <v>0</v>
      </c>
      <c r="G93" s="112" t="str">
        <f>Service_Numbers!AA25</f>
        <v/>
      </c>
    </row>
    <row r="94" spans="1:7" x14ac:dyDescent="0.4">
      <c r="A94">
        <v>21</v>
      </c>
      <c r="B94" s="98">
        <f>'3. Intervention Details'!B26</f>
        <v>0</v>
      </c>
      <c r="C94" s="224">
        <f>IF(B94=0,0,(Service_Numbers!L26/(VLOOKUP($G94,$B$7:$F$13,C$73,FALSE)))/52)</f>
        <v>0</v>
      </c>
      <c r="D94" s="224">
        <f>IF(C94=0,0,(Service_Numbers!M26/(VLOOKUP($G94,$B$7:$F$13,D$73,FALSE)))/52)</f>
        <v>0</v>
      </c>
      <c r="E94" s="224">
        <f>IF(D94=0,0,(Service_Numbers!N26/(VLOOKUP($G94,$B$7:$F$13,E$73,FALSE)))/52)</f>
        <v>0</v>
      </c>
      <c r="F94" s="224">
        <f>IF(E94=0,0,(Service_Numbers!O26/(VLOOKUP($G94,$B$7:$F$13,F$73,FALSE)))/52)</f>
        <v>0</v>
      </c>
      <c r="G94" s="112" t="str">
        <f>Service_Numbers!AA26</f>
        <v/>
      </c>
    </row>
    <row r="95" spans="1:7" x14ac:dyDescent="0.4">
      <c r="A95">
        <v>22</v>
      </c>
      <c r="B95" s="98">
        <f>'3. Intervention Details'!B27</f>
        <v>0</v>
      </c>
      <c r="C95" s="224">
        <f>IF(B95=0,0,(Service_Numbers!L27/(VLOOKUP($G95,$B$7:$F$13,C$73,FALSE)))/52)</f>
        <v>0</v>
      </c>
      <c r="D95" s="224">
        <f>IF(C95=0,0,(Service_Numbers!M27/(VLOOKUP($G95,$B$7:$F$13,D$73,FALSE)))/52)</f>
        <v>0</v>
      </c>
      <c r="E95" s="224">
        <f>IF(D95=0,0,(Service_Numbers!N27/(VLOOKUP($G95,$B$7:$F$13,E$73,FALSE)))/52)</f>
        <v>0</v>
      </c>
      <c r="F95" s="224">
        <f>IF(E95=0,0,(Service_Numbers!O27/(VLOOKUP($G95,$B$7:$F$13,F$73,FALSE)))/52)</f>
        <v>0</v>
      </c>
      <c r="G95" s="112" t="str">
        <f>Service_Numbers!AA27</f>
        <v/>
      </c>
    </row>
    <row r="96" spans="1:7" x14ac:dyDescent="0.4">
      <c r="A96">
        <v>23</v>
      </c>
      <c r="B96" s="98">
        <f>'3. Intervention Details'!B28</f>
        <v>0</v>
      </c>
      <c r="C96" s="224">
        <f>IF(B96=0,0,(Service_Numbers!L28/(VLOOKUP($G96,$B$7:$F$13,C$73,FALSE)))/52)</f>
        <v>0</v>
      </c>
      <c r="D96" s="224">
        <f>IF(C96=0,0,(Service_Numbers!M28/(VLOOKUP($G96,$B$7:$F$13,D$73,FALSE)))/52)</f>
        <v>0</v>
      </c>
      <c r="E96" s="224">
        <f>IF(D96=0,0,(Service_Numbers!N28/(VLOOKUP($G96,$B$7:$F$13,E$73,FALSE)))/52)</f>
        <v>0</v>
      </c>
      <c r="F96" s="224">
        <f>IF(E96=0,0,(Service_Numbers!O28/(VLOOKUP($G96,$B$7:$F$13,F$73,FALSE)))/52)</f>
        <v>0</v>
      </c>
      <c r="G96" s="112" t="str">
        <f>Service_Numbers!AA28</f>
        <v/>
      </c>
    </row>
    <row r="97" spans="1:7" x14ac:dyDescent="0.4">
      <c r="A97">
        <v>24</v>
      </c>
      <c r="B97" s="98">
        <f>'3. Intervention Details'!B29</f>
        <v>0</v>
      </c>
      <c r="C97" s="224">
        <f>IF(B97=0,0,(Service_Numbers!L29/(VLOOKUP($G97,$B$7:$F$13,C$73,FALSE)))/52)</f>
        <v>0</v>
      </c>
      <c r="D97" s="224">
        <f>IF(C97=0,0,(Service_Numbers!M29/(VLOOKUP($G97,$B$7:$F$13,D$73,FALSE)))/52)</f>
        <v>0</v>
      </c>
      <c r="E97" s="224">
        <f>IF(D97=0,0,(Service_Numbers!N29/(VLOOKUP($G97,$B$7:$F$13,E$73,FALSE)))/52)</f>
        <v>0</v>
      </c>
      <c r="F97" s="224">
        <f>IF(E97=0,0,(Service_Numbers!O29/(VLOOKUP($G97,$B$7:$F$13,F$73,FALSE)))/52)</f>
        <v>0</v>
      </c>
      <c r="G97" s="112" t="str">
        <f>Service_Numbers!AA29</f>
        <v/>
      </c>
    </row>
    <row r="98" spans="1:7" x14ac:dyDescent="0.4">
      <c r="A98">
        <v>25</v>
      </c>
      <c r="B98" s="98">
        <f>'3. Intervention Details'!B30</f>
        <v>0</v>
      </c>
      <c r="C98" s="224">
        <f>IF(B98=0,0,(Service_Numbers!L30/(VLOOKUP($G98,$B$7:$F$13,C$73,FALSE)))/52)</f>
        <v>0</v>
      </c>
      <c r="D98" s="224">
        <f>IF(C98=0,0,(Service_Numbers!M30/(VLOOKUP($G98,$B$7:$F$13,D$73,FALSE)))/52)</f>
        <v>0</v>
      </c>
      <c r="E98" s="224">
        <f>IF(D98=0,0,(Service_Numbers!N30/(VLOOKUP($G98,$B$7:$F$13,E$73,FALSE)))/52)</f>
        <v>0</v>
      </c>
      <c r="F98" s="224">
        <f>IF(E98=0,0,(Service_Numbers!O30/(VLOOKUP($G98,$B$7:$F$13,F$73,FALSE)))/52)</f>
        <v>0</v>
      </c>
      <c r="G98" s="112" t="str">
        <f>Service_Numbers!AA30</f>
        <v/>
      </c>
    </row>
    <row r="99" spans="1:7" x14ac:dyDescent="0.4">
      <c r="A99">
        <v>26</v>
      </c>
      <c r="B99" s="98">
        <f>'3. Intervention Details'!B31</f>
        <v>0</v>
      </c>
      <c r="C99" s="224">
        <f>IF(B99=0,0,(Service_Numbers!L31/(VLOOKUP($G99,$B$7:$F$13,C$73,FALSE)))/52)</f>
        <v>0</v>
      </c>
      <c r="D99" s="224">
        <f>IF(C99=0,0,(Service_Numbers!M31/(VLOOKUP($G99,$B$7:$F$13,D$73,FALSE)))/52)</f>
        <v>0</v>
      </c>
      <c r="E99" s="224">
        <f>IF(D99=0,0,(Service_Numbers!N31/(VLOOKUP($G99,$B$7:$F$13,E$73,FALSE)))/52)</f>
        <v>0</v>
      </c>
      <c r="F99" s="224">
        <f>IF(E99=0,0,(Service_Numbers!O31/(VLOOKUP($G99,$B$7:$F$13,F$73,FALSE)))/52)</f>
        <v>0</v>
      </c>
      <c r="G99" s="112" t="str">
        <f>Service_Numbers!AA31</f>
        <v/>
      </c>
    </row>
    <row r="100" spans="1:7" x14ac:dyDescent="0.4">
      <c r="A100">
        <v>27</v>
      </c>
      <c r="B100" s="98">
        <f>'3. Intervention Details'!B32</f>
        <v>0</v>
      </c>
      <c r="C100" s="224">
        <f>IF(B100=0,0,(Service_Numbers!L32/(VLOOKUP($G100,$B$7:$F$13,C$73,FALSE)))/52)</f>
        <v>0</v>
      </c>
      <c r="D100" s="224">
        <f>IF(C100=0,0,(Service_Numbers!M32/(VLOOKUP($G100,$B$7:$F$13,D$73,FALSE)))/52)</f>
        <v>0</v>
      </c>
      <c r="E100" s="224">
        <f>IF(D100=0,0,(Service_Numbers!N32/(VLOOKUP($G100,$B$7:$F$13,E$73,FALSE)))/52)</f>
        <v>0</v>
      </c>
      <c r="F100" s="224">
        <f>IF(E100=0,0,(Service_Numbers!O32/(VLOOKUP($G100,$B$7:$F$13,F$73,FALSE)))/52)</f>
        <v>0</v>
      </c>
      <c r="G100" s="112" t="str">
        <f>Service_Numbers!AA32</f>
        <v/>
      </c>
    </row>
    <row r="101" spans="1:7" x14ac:dyDescent="0.4">
      <c r="A101">
        <v>28</v>
      </c>
      <c r="B101" s="98">
        <f>'3. Intervention Details'!B33</f>
        <v>0</v>
      </c>
      <c r="C101" s="224">
        <f>IF(B101=0,0,(Service_Numbers!L33/(VLOOKUP($G101,$B$7:$F$13,C$73,FALSE)))/52)</f>
        <v>0</v>
      </c>
      <c r="D101" s="224">
        <f>IF(C101=0,0,(Service_Numbers!M33/(VLOOKUP($G101,$B$7:$F$13,D$73,FALSE)))/52)</f>
        <v>0</v>
      </c>
      <c r="E101" s="224">
        <f>IF(D101=0,0,(Service_Numbers!N33/(VLOOKUP($G101,$B$7:$F$13,E$73,FALSE)))/52)</f>
        <v>0</v>
      </c>
      <c r="F101" s="224">
        <f>IF(E101=0,0,(Service_Numbers!O33/(VLOOKUP($G101,$B$7:$F$13,F$73,FALSE)))/52)</f>
        <v>0</v>
      </c>
      <c r="G101" s="112" t="str">
        <f>Service_Numbers!AA33</f>
        <v/>
      </c>
    </row>
    <row r="102" spans="1:7" x14ac:dyDescent="0.4">
      <c r="A102">
        <v>29</v>
      </c>
      <c r="B102" s="98">
        <f>'3. Intervention Details'!B34</f>
        <v>0</v>
      </c>
      <c r="C102" s="224">
        <f>IF(B102=0,0,(Service_Numbers!L34/(VLOOKUP($G102,$B$7:$F$13,C$73,FALSE)))/52)</f>
        <v>0</v>
      </c>
      <c r="D102" s="224">
        <f>IF(C102=0,0,(Service_Numbers!M34/(VLOOKUP($G102,$B$7:$F$13,D$73,FALSE)))/52)</f>
        <v>0</v>
      </c>
      <c r="E102" s="224">
        <f>IF(D102=0,0,(Service_Numbers!N34/(VLOOKUP($G102,$B$7:$F$13,E$73,FALSE)))/52)</f>
        <v>0</v>
      </c>
      <c r="F102" s="224">
        <f>IF(E102=0,0,(Service_Numbers!O34/(VLOOKUP($G102,$B$7:$F$13,F$73,FALSE)))/52)</f>
        <v>0</v>
      </c>
      <c r="G102" s="112" t="str">
        <f>Service_Numbers!AA34</f>
        <v/>
      </c>
    </row>
    <row r="103" spans="1:7" x14ac:dyDescent="0.4">
      <c r="A103">
        <v>30</v>
      </c>
      <c r="B103" s="98">
        <f>'3. Intervention Details'!B35</f>
        <v>0</v>
      </c>
      <c r="C103" s="224">
        <f>IF(B103=0,0,(Service_Numbers!L35/(VLOOKUP($G103,$B$7:$F$13,C$73,FALSE)))/52)</f>
        <v>0</v>
      </c>
      <c r="D103" s="224">
        <f>IF(C103=0,0,(Service_Numbers!M35/(VLOOKUP($G103,$B$7:$F$13,D$73,FALSE)))/52)</f>
        <v>0</v>
      </c>
      <c r="E103" s="224">
        <f>IF(D103=0,0,(Service_Numbers!N35/(VLOOKUP($G103,$B$7:$F$13,E$73,FALSE)))/52)</f>
        <v>0</v>
      </c>
      <c r="F103" s="224">
        <f>IF(E103=0,0,(Service_Numbers!O35/(VLOOKUP($G103,$B$7:$F$13,F$73,FALSE)))/52)</f>
        <v>0</v>
      </c>
      <c r="G103" s="112" t="str">
        <f>Service_Numbers!AA35</f>
        <v/>
      </c>
    </row>
    <row r="104" spans="1:7" x14ac:dyDescent="0.4">
      <c r="A104">
        <v>31</v>
      </c>
      <c r="B104" s="98">
        <f>'3. Intervention Details'!B36</f>
        <v>0</v>
      </c>
      <c r="C104" s="224">
        <f>IF(B104=0,0,(Service_Numbers!L36/(VLOOKUP($G104,$B$7:$F$13,C$73,FALSE)))/52)</f>
        <v>0</v>
      </c>
      <c r="D104" s="224">
        <f>IF(C104=0,0,(Service_Numbers!M36/(VLOOKUP($G104,$B$7:$F$13,D$73,FALSE)))/52)</f>
        <v>0</v>
      </c>
      <c r="E104" s="224">
        <f>IF(D104=0,0,(Service_Numbers!N36/(VLOOKUP($G104,$B$7:$F$13,E$73,FALSE)))/52)</f>
        <v>0</v>
      </c>
      <c r="F104" s="224">
        <f>IF(E104=0,0,(Service_Numbers!O36/(VLOOKUP($G104,$B$7:$F$13,F$73,FALSE)))/52)</f>
        <v>0</v>
      </c>
      <c r="G104" s="112" t="str">
        <f>Service_Numbers!AA36</f>
        <v/>
      </c>
    </row>
    <row r="105" spans="1:7" x14ac:dyDescent="0.4">
      <c r="A105">
        <v>32</v>
      </c>
      <c r="B105" s="98">
        <f>'3. Intervention Details'!B37</f>
        <v>0</v>
      </c>
      <c r="C105" s="224">
        <f>IF(B105=0,0,(Service_Numbers!L37/(VLOOKUP($G105,$B$7:$F$13,C$73,FALSE)))/52)</f>
        <v>0</v>
      </c>
      <c r="D105" s="224">
        <f>IF(C105=0,0,(Service_Numbers!M37/(VLOOKUP($G105,$B$7:$F$13,D$73,FALSE)))/52)</f>
        <v>0</v>
      </c>
      <c r="E105" s="224">
        <f>IF(D105=0,0,(Service_Numbers!N37/(VLOOKUP($G105,$B$7:$F$13,E$73,FALSE)))/52)</f>
        <v>0</v>
      </c>
      <c r="F105" s="224">
        <f>IF(E105=0,0,(Service_Numbers!O37/(VLOOKUP($G105,$B$7:$F$13,F$73,FALSE)))/52)</f>
        <v>0</v>
      </c>
      <c r="G105" s="112" t="str">
        <f>Service_Numbers!AA37</f>
        <v/>
      </c>
    </row>
    <row r="106" spans="1:7" x14ac:dyDescent="0.4">
      <c r="A106">
        <v>33</v>
      </c>
      <c r="B106" s="98">
        <f>'3. Intervention Details'!B38</f>
        <v>0</v>
      </c>
      <c r="C106" s="224">
        <f>IF(B106=0,0,(Service_Numbers!L38/(VLOOKUP($G106,$B$7:$F$13,C$73,FALSE)))/52)</f>
        <v>0</v>
      </c>
      <c r="D106" s="224">
        <f>IF(C106=0,0,(Service_Numbers!M38/(VLOOKUP($G106,$B$7:$F$13,D$73,FALSE)))/52)</f>
        <v>0</v>
      </c>
      <c r="E106" s="224">
        <f>IF(D106=0,0,(Service_Numbers!N38/(VLOOKUP($G106,$B$7:$F$13,E$73,FALSE)))/52)</f>
        <v>0</v>
      </c>
      <c r="F106" s="224">
        <f>IF(E106=0,0,(Service_Numbers!O38/(VLOOKUP($G106,$B$7:$F$13,F$73,FALSE)))/52)</f>
        <v>0</v>
      </c>
      <c r="G106" s="112" t="str">
        <f>Service_Numbers!AA38</f>
        <v/>
      </c>
    </row>
    <row r="107" spans="1:7" x14ac:dyDescent="0.4">
      <c r="A107">
        <v>34</v>
      </c>
      <c r="B107" s="98">
        <f>'3. Intervention Details'!B39</f>
        <v>0</v>
      </c>
      <c r="C107" s="224">
        <f>IF(B107=0,0,(Service_Numbers!L39/(VLOOKUP($G107,$B$7:$F$13,C$73,FALSE)))/52)</f>
        <v>0</v>
      </c>
      <c r="D107" s="224">
        <f>IF(C107=0,0,(Service_Numbers!M39/(VLOOKUP($G107,$B$7:$F$13,D$73,FALSE)))/52)</f>
        <v>0</v>
      </c>
      <c r="E107" s="224">
        <f>IF(D107=0,0,(Service_Numbers!N39/(VLOOKUP($G107,$B$7:$F$13,E$73,FALSE)))/52)</f>
        <v>0</v>
      </c>
      <c r="F107" s="224">
        <f>IF(E107=0,0,(Service_Numbers!O39/(VLOOKUP($G107,$B$7:$F$13,F$73,FALSE)))/52)</f>
        <v>0</v>
      </c>
      <c r="G107" s="112" t="str">
        <f>Service_Numbers!AA39</f>
        <v/>
      </c>
    </row>
    <row r="108" spans="1:7" x14ac:dyDescent="0.4">
      <c r="A108">
        <v>35</v>
      </c>
      <c r="B108" s="98">
        <f>'3. Intervention Details'!B40</f>
        <v>0</v>
      </c>
      <c r="C108" s="224">
        <f>IF(B108=0,0,(Service_Numbers!L40/(VLOOKUP($G108,$B$7:$F$13,C$73,FALSE)))/52)</f>
        <v>0</v>
      </c>
      <c r="D108" s="224">
        <f>IF(C108=0,0,(Service_Numbers!M40/(VLOOKUP($G108,$B$7:$F$13,D$73,FALSE)))/52)</f>
        <v>0</v>
      </c>
      <c r="E108" s="224">
        <f>IF(D108=0,0,(Service_Numbers!N40/(VLOOKUP($G108,$B$7:$F$13,E$73,FALSE)))/52)</f>
        <v>0</v>
      </c>
      <c r="F108" s="224">
        <f>IF(E108=0,0,(Service_Numbers!O40/(VLOOKUP($G108,$B$7:$F$13,F$73,FALSE)))/52)</f>
        <v>0</v>
      </c>
      <c r="G108" s="112" t="str">
        <f>Service_Numbers!AA40</f>
        <v/>
      </c>
    </row>
    <row r="109" spans="1:7" x14ac:dyDescent="0.4">
      <c r="A109">
        <v>36</v>
      </c>
      <c r="B109" s="98">
        <f>'3. Intervention Details'!B41</f>
        <v>0</v>
      </c>
      <c r="C109" s="224">
        <f>IF(B109=0,0,(Service_Numbers!L41/(VLOOKUP($G109,$B$7:$F$13,C$73,FALSE)))/52)</f>
        <v>0</v>
      </c>
      <c r="D109" s="224">
        <f>IF(C109=0,0,(Service_Numbers!M41/(VLOOKUP($G109,$B$7:$F$13,D$73,FALSE)))/52)</f>
        <v>0</v>
      </c>
      <c r="E109" s="224">
        <f>IF(D109=0,0,(Service_Numbers!N41/(VLOOKUP($G109,$B$7:$F$13,E$73,FALSE)))/52)</f>
        <v>0</v>
      </c>
      <c r="F109" s="224">
        <f>IF(E109=0,0,(Service_Numbers!O41/(VLOOKUP($G109,$B$7:$F$13,F$73,FALSE)))/52)</f>
        <v>0</v>
      </c>
      <c r="G109" s="112" t="str">
        <f>Service_Numbers!AA41</f>
        <v/>
      </c>
    </row>
    <row r="110" spans="1:7" x14ac:dyDescent="0.4">
      <c r="A110">
        <v>37</v>
      </c>
      <c r="B110" s="98">
        <f>'3. Intervention Details'!B42</f>
        <v>0</v>
      </c>
      <c r="C110" s="224">
        <f>IF(B110=0,0,(Service_Numbers!L42/(VLOOKUP($G110,$B$7:$F$13,C$73,FALSE)))/52)</f>
        <v>0</v>
      </c>
      <c r="D110" s="224">
        <f>IF(C110=0,0,(Service_Numbers!M42/(VLOOKUP($G110,$B$7:$F$13,D$73,FALSE)))/52)</f>
        <v>0</v>
      </c>
      <c r="E110" s="224">
        <f>IF(D110=0,0,(Service_Numbers!N42/(VLOOKUP($G110,$B$7:$F$13,E$73,FALSE)))/52)</f>
        <v>0</v>
      </c>
      <c r="F110" s="224">
        <f>IF(E110=0,0,(Service_Numbers!O42/(VLOOKUP($G110,$B$7:$F$13,F$73,FALSE)))/52)</f>
        <v>0</v>
      </c>
      <c r="G110" s="112" t="str">
        <f>Service_Numbers!AA42</f>
        <v/>
      </c>
    </row>
    <row r="111" spans="1:7" x14ac:dyDescent="0.4">
      <c r="A111">
        <v>38</v>
      </c>
      <c r="B111" s="98">
        <f>'3. Intervention Details'!B43</f>
        <v>0</v>
      </c>
      <c r="C111" s="224">
        <f>IF(B111=0,0,(Service_Numbers!L43/(VLOOKUP($G111,$B$7:$F$13,C$73,FALSE)))/52)</f>
        <v>0</v>
      </c>
      <c r="D111" s="224">
        <f>IF(C111=0,0,(Service_Numbers!M43/(VLOOKUP($G111,$B$7:$F$13,D$73,FALSE)))/52)</f>
        <v>0</v>
      </c>
      <c r="E111" s="224">
        <f>IF(D111=0,0,(Service_Numbers!N43/(VLOOKUP($G111,$B$7:$F$13,E$73,FALSE)))/52)</f>
        <v>0</v>
      </c>
      <c r="F111" s="224">
        <f>IF(E111=0,0,(Service_Numbers!O43/(VLOOKUP($G111,$B$7:$F$13,F$73,FALSE)))/52)</f>
        <v>0</v>
      </c>
      <c r="G111" s="112" t="str">
        <f>Service_Numbers!AA43</f>
        <v/>
      </c>
    </row>
    <row r="112" spans="1:7" x14ac:dyDescent="0.4">
      <c r="A112">
        <v>39</v>
      </c>
      <c r="B112" s="98">
        <f>'3. Intervention Details'!B44</f>
        <v>0</v>
      </c>
      <c r="C112" s="224">
        <f>IF(B112=0,0,(Service_Numbers!L44/(VLOOKUP($G112,$B$7:$F$13,C$73,FALSE)))/52)</f>
        <v>0</v>
      </c>
      <c r="D112" s="224">
        <f>IF(C112=0,0,(Service_Numbers!M44/(VLOOKUP($G112,$B$7:$F$13,D$73,FALSE)))/52)</f>
        <v>0</v>
      </c>
      <c r="E112" s="224">
        <f>IF(D112=0,0,(Service_Numbers!N44/(VLOOKUP($G112,$B$7:$F$13,E$73,FALSE)))/52)</f>
        <v>0</v>
      </c>
      <c r="F112" s="224">
        <f>IF(E112=0,0,(Service_Numbers!O44/(VLOOKUP($G112,$B$7:$F$13,F$73,FALSE)))/52)</f>
        <v>0</v>
      </c>
      <c r="G112" s="112" t="str">
        <f>Service_Numbers!AA44</f>
        <v/>
      </c>
    </row>
    <row r="113" spans="1:7" x14ac:dyDescent="0.4">
      <c r="A113">
        <v>40</v>
      </c>
      <c r="B113" s="98">
        <f>'3. Intervention Details'!B45</f>
        <v>0</v>
      </c>
      <c r="C113" s="224">
        <f>IF(B113=0,0,(Service_Numbers!L45/(VLOOKUP($G113,$B$7:$F$13,C$73,FALSE)))/52)</f>
        <v>0</v>
      </c>
      <c r="D113" s="224">
        <f>IF(C113=0,0,(Service_Numbers!M45/(VLOOKUP($G113,$B$7:$F$13,D$73,FALSE)))/52)</f>
        <v>0</v>
      </c>
      <c r="E113" s="224">
        <f>IF(D113=0,0,(Service_Numbers!N45/(VLOOKUP($G113,$B$7:$F$13,E$73,FALSE)))/52)</f>
        <v>0</v>
      </c>
      <c r="F113" s="224">
        <f>IF(E113=0,0,(Service_Numbers!O45/(VLOOKUP($G113,$B$7:$F$13,F$73,FALSE)))/52)</f>
        <v>0</v>
      </c>
      <c r="G113" s="112" t="str">
        <f>Service_Numbers!AA45</f>
        <v/>
      </c>
    </row>
    <row r="114" spans="1:7" x14ac:dyDescent="0.4">
      <c r="A114">
        <v>41</v>
      </c>
      <c r="B114" s="98">
        <f>'3. Intervention Details'!B46</f>
        <v>0</v>
      </c>
      <c r="C114" s="224">
        <f>IF(B114=0,0,(Service_Numbers!L46/(VLOOKUP($G114,$B$7:$F$13,C$73,FALSE)))/52)</f>
        <v>0</v>
      </c>
      <c r="D114" s="224">
        <f>IF(C114=0,0,(Service_Numbers!M46/(VLOOKUP($G114,$B$7:$F$13,D$73,FALSE)))/52)</f>
        <v>0</v>
      </c>
      <c r="E114" s="224">
        <f>IF(D114=0,0,(Service_Numbers!N46/(VLOOKUP($G114,$B$7:$F$13,E$73,FALSE)))/52)</f>
        <v>0</v>
      </c>
      <c r="F114" s="224">
        <f>IF(E114=0,0,(Service_Numbers!O46/(VLOOKUP($G114,$B$7:$F$13,F$73,FALSE)))/52)</f>
        <v>0</v>
      </c>
      <c r="G114" s="112" t="str">
        <f>Service_Numbers!AA46</f>
        <v/>
      </c>
    </row>
    <row r="115" spans="1:7" x14ac:dyDescent="0.4">
      <c r="A115">
        <v>42</v>
      </c>
      <c r="B115" s="98">
        <f>'3. Intervention Details'!B47</f>
        <v>0</v>
      </c>
      <c r="C115" s="224">
        <f>IF(B115=0,0,(Service_Numbers!L47/(VLOOKUP($G115,$B$7:$F$13,C$73,FALSE)))/52)</f>
        <v>0</v>
      </c>
      <c r="D115" s="224">
        <f>IF(C115=0,0,(Service_Numbers!M47/(VLOOKUP($G115,$B$7:$F$13,D$73,FALSE)))/52)</f>
        <v>0</v>
      </c>
      <c r="E115" s="224">
        <f>IF(D115=0,0,(Service_Numbers!N47/(VLOOKUP($G115,$B$7:$F$13,E$73,FALSE)))/52)</f>
        <v>0</v>
      </c>
      <c r="F115" s="224">
        <f>IF(E115=0,0,(Service_Numbers!O47/(VLOOKUP($G115,$B$7:$F$13,F$73,FALSE)))/52)</f>
        <v>0</v>
      </c>
      <c r="G115" s="112" t="str">
        <f>Service_Numbers!AA47</f>
        <v/>
      </c>
    </row>
    <row r="116" spans="1:7" x14ac:dyDescent="0.4">
      <c r="A116">
        <v>43</v>
      </c>
      <c r="B116" s="98">
        <f>'3. Intervention Details'!B48</f>
        <v>0</v>
      </c>
      <c r="C116" s="224">
        <f>IF(B116=0,0,(Service_Numbers!L48/(VLOOKUP($G116,$B$7:$F$13,C$73,FALSE)))/52)</f>
        <v>0</v>
      </c>
      <c r="D116" s="224">
        <f>IF(C116=0,0,(Service_Numbers!M48/(VLOOKUP($G116,$B$7:$F$13,D$73,FALSE)))/52)</f>
        <v>0</v>
      </c>
      <c r="E116" s="224">
        <f>IF(D116=0,0,(Service_Numbers!N48/(VLOOKUP($G116,$B$7:$F$13,E$73,FALSE)))/52)</f>
        <v>0</v>
      </c>
      <c r="F116" s="224">
        <f>IF(E116=0,0,(Service_Numbers!O48/(VLOOKUP($G116,$B$7:$F$13,F$73,FALSE)))/52)</f>
        <v>0</v>
      </c>
      <c r="G116" s="112" t="str">
        <f>Service_Numbers!AA48</f>
        <v/>
      </c>
    </row>
    <row r="117" spans="1:7" x14ac:dyDescent="0.4">
      <c r="A117">
        <v>44</v>
      </c>
      <c r="B117" s="98">
        <f>'3. Intervention Details'!B49</f>
        <v>0</v>
      </c>
      <c r="C117" s="224">
        <f>IF(B117=0,0,(Service_Numbers!L49/(VLOOKUP($G117,$B$7:$F$13,C$73,FALSE)))/52)</f>
        <v>0</v>
      </c>
      <c r="D117" s="224">
        <f>IF(C117=0,0,(Service_Numbers!M49/(VLOOKUP($G117,$B$7:$F$13,D$73,FALSE)))/52)</f>
        <v>0</v>
      </c>
      <c r="E117" s="224">
        <f>IF(D117=0,0,(Service_Numbers!N49/(VLOOKUP($G117,$B$7:$F$13,E$73,FALSE)))/52)</f>
        <v>0</v>
      </c>
      <c r="F117" s="224">
        <f>IF(E117=0,0,(Service_Numbers!O49/(VLOOKUP($G117,$B$7:$F$13,F$73,FALSE)))/52)</f>
        <v>0</v>
      </c>
      <c r="G117" s="112" t="str">
        <f>Service_Numbers!AA49</f>
        <v/>
      </c>
    </row>
    <row r="118" spans="1:7" x14ac:dyDescent="0.4">
      <c r="A118">
        <v>45</v>
      </c>
      <c r="B118" s="98">
        <f>'3. Intervention Details'!B50</f>
        <v>0</v>
      </c>
      <c r="C118" s="224">
        <f>IF(B118=0,0,(Service_Numbers!L50/(VLOOKUP($G118,$B$7:$F$13,C$73,FALSE)))/52)</f>
        <v>0</v>
      </c>
      <c r="D118" s="224">
        <f>IF(C118=0,0,(Service_Numbers!M50/(VLOOKUP($G118,$B$7:$F$13,D$73,FALSE)))/52)</f>
        <v>0</v>
      </c>
      <c r="E118" s="224">
        <f>IF(D118=0,0,(Service_Numbers!N50/(VLOOKUP($G118,$B$7:$F$13,E$73,FALSE)))/52)</f>
        <v>0</v>
      </c>
      <c r="F118" s="224">
        <f>IF(E118=0,0,(Service_Numbers!O50/(VLOOKUP($G118,$B$7:$F$13,F$73,FALSE)))/52)</f>
        <v>0</v>
      </c>
      <c r="G118" s="112" t="str">
        <f>Service_Numbers!AA50</f>
        <v/>
      </c>
    </row>
    <row r="119" spans="1:7" x14ac:dyDescent="0.4">
      <c r="A119">
        <v>46</v>
      </c>
      <c r="B119" s="98">
        <f>'3. Intervention Details'!B51</f>
        <v>0</v>
      </c>
      <c r="C119" s="224">
        <f>IF(B119=0,0,(Service_Numbers!L51/(VLOOKUP($G119,$B$7:$F$13,C$73,FALSE)))/52)</f>
        <v>0</v>
      </c>
      <c r="D119" s="224">
        <f>IF(C119=0,0,(Service_Numbers!M51/(VLOOKUP($G119,$B$7:$F$13,D$73,FALSE)))/52)</f>
        <v>0</v>
      </c>
      <c r="E119" s="224">
        <f>IF(D119=0,0,(Service_Numbers!N51/(VLOOKUP($G119,$B$7:$F$13,E$73,FALSE)))/52)</f>
        <v>0</v>
      </c>
      <c r="F119" s="224">
        <f>IF(E119=0,0,(Service_Numbers!O51/(VLOOKUP($G119,$B$7:$F$13,F$73,FALSE)))/52)</f>
        <v>0</v>
      </c>
      <c r="G119" s="112" t="str">
        <f>Service_Numbers!AA51</f>
        <v/>
      </c>
    </row>
    <row r="120" spans="1:7" x14ac:dyDescent="0.4">
      <c r="A120">
        <v>47</v>
      </c>
      <c r="B120" s="98">
        <f>'3. Intervention Details'!B52</f>
        <v>0</v>
      </c>
      <c r="C120" s="224">
        <f>IF(B120=0,0,(Service_Numbers!L52/(VLOOKUP($G120,$B$7:$F$13,C$73,FALSE)))/52)</f>
        <v>0</v>
      </c>
      <c r="D120" s="224">
        <f>IF(C120=0,0,(Service_Numbers!M52/(VLOOKUP($G120,$B$7:$F$13,D$73,FALSE)))/52)</f>
        <v>0</v>
      </c>
      <c r="E120" s="224">
        <f>IF(D120=0,0,(Service_Numbers!N52/(VLOOKUP($G120,$B$7:$F$13,E$73,FALSE)))/52)</f>
        <v>0</v>
      </c>
      <c r="F120" s="224">
        <f>IF(E120=0,0,(Service_Numbers!O52/(VLOOKUP($G120,$B$7:$F$13,F$73,FALSE)))/52)</f>
        <v>0</v>
      </c>
      <c r="G120" s="112" t="str">
        <f>Service_Numbers!AA52</f>
        <v/>
      </c>
    </row>
    <row r="121" spans="1:7" x14ac:dyDescent="0.4">
      <c r="A121">
        <v>48</v>
      </c>
      <c r="B121" s="98">
        <f>'3. Intervention Details'!B53</f>
        <v>0</v>
      </c>
      <c r="C121" s="224">
        <f>IF(B121=0,0,(Service_Numbers!L53/(VLOOKUP($G121,$B$7:$F$13,C$73,FALSE)))/52)</f>
        <v>0</v>
      </c>
      <c r="D121" s="224">
        <f>IF(C121=0,0,(Service_Numbers!M53/(VLOOKUP($G121,$B$7:$F$13,D$73,FALSE)))/52)</f>
        <v>0</v>
      </c>
      <c r="E121" s="224">
        <f>IF(D121=0,0,(Service_Numbers!N53/(VLOOKUP($G121,$B$7:$F$13,E$73,FALSE)))/52)</f>
        <v>0</v>
      </c>
      <c r="F121" s="224">
        <f>IF(E121=0,0,(Service_Numbers!O53/(VLOOKUP($G121,$B$7:$F$13,F$73,FALSE)))/52)</f>
        <v>0</v>
      </c>
      <c r="G121" s="112" t="str">
        <f>Service_Numbers!AA53</f>
        <v/>
      </c>
    </row>
    <row r="122" spans="1:7" x14ac:dyDescent="0.4">
      <c r="A122">
        <v>49</v>
      </c>
      <c r="B122" s="98">
        <f>'3. Intervention Details'!B54</f>
        <v>0</v>
      </c>
      <c r="C122" s="224">
        <f>IF(B122=0,0,(Service_Numbers!L54/(VLOOKUP($G122,$B$7:$F$13,C$73,FALSE)))/52)</f>
        <v>0</v>
      </c>
      <c r="D122" s="224">
        <f>IF(C122=0,0,(Service_Numbers!M54/(VLOOKUP($G122,$B$7:$F$13,D$73,FALSE)))/52)</f>
        <v>0</v>
      </c>
      <c r="E122" s="224">
        <f>IF(D122=0,0,(Service_Numbers!N54/(VLOOKUP($G122,$B$7:$F$13,E$73,FALSE)))/52)</f>
        <v>0</v>
      </c>
      <c r="F122" s="224">
        <f>IF(E122=0,0,(Service_Numbers!O54/(VLOOKUP($G122,$B$7:$F$13,F$73,FALSE)))/52)</f>
        <v>0</v>
      </c>
      <c r="G122" s="112" t="str">
        <f>Service_Numbers!AA54</f>
        <v/>
      </c>
    </row>
    <row r="123" spans="1:7" x14ac:dyDescent="0.4">
      <c r="A123">
        <v>50</v>
      </c>
      <c r="B123" s="98">
        <f>'3. Intervention Details'!B55</f>
        <v>0</v>
      </c>
      <c r="C123" s="224">
        <f>IF(B123=0,0,(Service_Numbers!L55/(VLOOKUP($G123,$B$7:$F$13,C$73,FALSE)))/52)</f>
        <v>0</v>
      </c>
      <c r="D123" s="224">
        <f>IF(C123=0,0,(Service_Numbers!M55/(VLOOKUP($G123,$B$7:$F$13,D$73,FALSE)))/52)</f>
        <v>0</v>
      </c>
      <c r="E123" s="224">
        <f>IF(D123=0,0,(Service_Numbers!N55/(VLOOKUP($G123,$B$7:$F$13,E$73,FALSE)))/52)</f>
        <v>0</v>
      </c>
      <c r="F123" s="224">
        <f>IF(E123=0,0,(Service_Numbers!O55/(VLOOKUP($G123,$B$7:$F$13,F$73,FALSE)))/52)</f>
        <v>0</v>
      </c>
      <c r="G123" s="112" t="str">
        <f>Service_Numbers!AA55</f>
        <v/>
      </c>
    </row>
    <row r="124" spans="1:7" x14ac:dyDescent="0.4">
      <c r="A124">
        <v>51</v>
      </c>
      <c r="B124" s="98">
        <f>'3. Intervention Details'!B56</f>
        <v>0</v>
      </c>
      <c r="C124" s="224">
        <f>IF(B124=0,0,(Service_Numbers!L56/(VLOOKUP($G124,$B$7:$F$13,C$73,FALSE)))/52)</f>
        <v>0</v>
      </c>
      <c r="D124" s="224">
        <f>IF(C124=0,0,(Service_Numbers!M56/(VLOOKUP($G124,$B$7:$F$13,D$73,FALSE)))/52)</f>
        <v>0</v>
      </c>
      <c r="E124" s="224">
        <f>IF(D124=0,0,(Service_Numbers!N56/(VLOOKUP($G124,$B$7:$F$13,E$73,FALSE)))/52)</f>
        <v>0</v>
      </c>
      <c r="F124" s="224">
        <f>IF(E124=0,0,(Service_Numbers!O56/(VLOOKUP($G124,$B$7:$F$13,F$73,FALSE)))/52)</f>
        <v>0</v>
      </c>
      <c r="G124" s="112" t="str">
        <f>Service_Numbers!AA56</f>
        <v/>
      </c>
    </row>
    <row r="125" spans="1:7" x14ac:dyDescent="0.4">
      <c r="A125">
        <v>52</v>
      </c>
      <c r="B125" s="98">
        <f>'3. Intervention Details'!B57</f>
        <v>0</v>
      </c>
      <c r="C125" s="224">
        <f>IF(B125=0,0,(Service_Numbers!L57/(VLOOKUP($G125,$B$7:$F$13,C$73,FALSE)))/52)</f>
        <v>0</v>
      </c>
      <c r="D125" s="224">
        <f>IF(C125=0,0,(Service_Numbers!M57/(VLOOKUP($G125,$B$7:$F$13,D$73,FALSE)))/52)</f>
        <v>0</v>
      </c>
      <c r="E125" s="224">
        <f>IF(D125=0,0,(Service_Numbers!N57/(VLOOKUP($G125,$B$7:$F$13,E$73,FALSE)))/52)</f>
        <v>0</v>
      </c>
      <c r="F125" s="224">
        <f>IF(E125=0,0,(Service_Numbers!O57/(VLOOKUP($G125,$B$7:$F$13,F$73,FALSE)))/52)</f>
        <v>0</v>
      </c>
      <c r="G125" s="112" t="str">
        <f>Service_Numbers!AA57</f>
        <v/>
      </c>
    </row>
    <row r="126" spans="1:7" x14ac:dyDescent="0.4">
      <c r="A126">
        <v>53</v>
      </c>
      <c r="B126" s="98">
        <f>'3. Intervention Details'!B58</f>
        <v>0</v>
      </c>
      <c r="C126" s="224">
        <f>IF(B126=0,0,(Service_Numbers!L58/(VLOOKUP($G126,$B$7:$F$13,C$73,FALSE)))/52)</f>
        <v>0</v>
      </c>
      <c r="D126" s="224">
        <f>IF(C126=0,0,(Service_Numbers!M58/(VLOOKUP($G126,$B$7:$F$13,D$73,FALSE)))/52)</f>
        <v>0</v>
      </c>
      <c r="E126" s="224">
        <f>IF(D126=0,0,(Service_Numbers!N58/(VLOOKUP($G126,$B$7:$F$13,E$73,FALSE)))/52)</f>
        <v>0</v>
      </c>
      <c r="F126" s="224">
        <f>IF(E126=0,0,(Service_Numbers!O58/(VLOOKUP($G126,$B$7:$F$13,F$73,FALSE)))/52)</f>
        <v>0</v>
      </c>
      <c r="G126" s="112" t="str">
        <f>Service_Numbers!AA58</f>
        <v/>
      </c>
    </row>
    <row r="127" spans="1:7" x14ac:dyDescent="0.4">
      <c r="A127">
        <v>54</v>
      </c>
      <c r="B127" s="98">
        <f>'3. Intervention Details'!B59</f>
        <v>0</v>
      </c>
      <c r="C127" s="224">
        <f>IF(B127=0,0,(Service_Numbers!L59/(VLOOKUP($G127,$B$7:$F$13,C$73,FALSE)))/52)</f>
        <v>0</v>
      </c>
      <c r="D127" s="224">
        <f>IF(C127=0,0,(Service_Numbers!M59/(VLOOKUP($G127,$B$7:$F$13,D$73,FALSE)))/52)</f>
        <v>0</v>
      </c>
      <c r="E127" s="224">
        <f>IF(D127=0,0,(Service_Numbers!N59/(VLOOKUP($G127,$B$7:$F$13,E$73,FALSE)))/52)</f>
        <v>0</v>
      </c>
      <c r="F127" s="224">
        <f>IF(E127=0,0,(Service_Numbers!O59/(VLOOKUP($G127,$B$7:$F$13,F$73,FALSE)))/52)</f>
        <v>0</v>
      </c>
      <c r="G127" s="112" t="str">
        <f>Service_Numbers!AA59</f>
        <v/>
      </c>
    </row>
    <row r="128" spans="1:7" x14ac:dyDescent="0.4">
      <c r="A128">
        <v>55</v>
      </c>
      <c r="B128" s="98">
        <f>'3. Intervention Details'!B60</f>
        <v>0</v>
      </c>
      <c r="C128" s="224">
        <f>IF(B128=0,0,(Service_Numbers!L60/(VLOOKUP($G128,$B$7:$F$13,C$73,FALSE)))/52)</f>
        <v>0</v>
      </c>
      <c r="D128" s="224">
        <f>IF(C128=0,0,(Service_Numbers!M60/(VLOOKUP($G128,$B$7:$F$13,D$73,FALSE)))/52)</f>
        <v>0</v>
      </c>
      <c r="E128" s="224">
        <f>IF(D128=0,0,(Service_Numbers!N60/(VLOOKUP($G128,$B$7:$F$13,E$73,FALSE)))/52)</f>
        <v>0</v>
      </c>
      <c r="F128" s="224">
        <f>IF(E128=0,0,(Service_Numbers!O60/(VLOOKUP($G128,$B$7:$F$13,F$73,FALSE)))/52)</f>
        <v>0</v>
      </c>
      <c r="G128" s="112" t="str">
        <f>Service_Numbers!AA60</f>
        <v/>
      </c>
    </row>
    <row r="129" spans="1:7" x14ac:dyDescent="0.4">
      <c r="A129">
        <v>56</v>
      </c>
      <c r="B129" s="98">
        <f>'3. Intervention Details'!B61</f>
        <v>0</v>
      </c>
      <c r="C129" s="224">
        <f>IF(B129=0,0,(Service_Numbers!L61/(VLOOKUP($G129,$B$7:$F$13,C$73,FALSE)))/52)</f>
        <v>0</v>
      </c>
      <c r="D129" s="224">
        <f>IF(C129=0,0,(Service_Numbers!M61/(VLOOKUP($G129,$B$7:$F$13,D$73,FALSE)))/52)</f>
        <v>0</v>
      </c>
      <c r="E129" s="224">
        <f>IF(D129=0,0,(Service_Numbers!N61/(VLOOKUP($G129,$B$7:$F$13,E$73,FALSE)))/52)</f>
        <v>0</v>
      </c>
      <c r="F129" s="224">
        <f>IF(E129=0,0,(Service_Numbers!O61/(VLOOKUP($G129,$B$7:$F$13,F$73,FALSE)))/52)</f>
        <v>0</v>
      </c>
      <c r="G129" s="112" t="str">
        <f>Service_Numbers!AA61</f>
        <v/>
      </c>
    </row>
    <row r="130" spans="1:7" x14ac:dyDescent="0.4">
      <c r="A130">
        <v>57</v>
      </c>
      <c r="B130" s="98">
        <f>'3. Intervention Details'!B62</f>
        <v>0</v>
      </c>
      <c r="C130" s="224">
        <f>IF(B130=0,0,(Service_Numbers!L62/(VLOOKUP($G130,$B$7:$F$13,C$73,FALSE)))/52)</f>
        <v>0</v>
      </c>
      <c r="D130" s="224">
        <f>IF(C130=0,0,(Service_Numbers!M62/(VLOOKUP($G130,$B$7:$F$13,D$73,FALSE)))/52)</f>
        <v>0</v>
      </c>
      <c r="E130" s="224">
        <f>IF(D130=0,0,(Service_Numbers!N62/(VLOOKUP($G130,$B$7:$F$13,E$73,FALSE)))/52)</f>
        <v>0</v>
      </c>
      <c r="F130" s="224">
        <f>IF(E130=0,0,(Service_Numbers!O62/(VLOOKUP($G130,$B$7:$F$13,F$73,FALSE)))/52)</f>
        <v>0</v>
      </c>
      <c r="G130" s="112" t="str">
        <f>Service_Numbers!AA62</f>
        <v/>
      </c>
    </row>
    <row r="131" spans="1:7" x14ac:dyDescent="0.4">
      <c r="A131">
        <v>58</v>
      </c>
      <c r="B131" s="98">
        <f>'3. Intervention Details'!B63</f>
        <v>0</v>
      </c>
      <c r="C131" s="224">
        <f>IF(B131=0,0,(Service_Numbers!L63/(VLOOKUP($G131,$B$7:$F$13,C$73,FALSE)))/52)</f>
        <v>0</v>
      </c>
      <c r="D131" s="224">
        <f>IF(C131=0,0,(Service_Numbers!M63/(VLOOKUP($G131,$B$7:$F$13,D$73,FALSE)))/52)</f>
        <v>0</v>
      </c>
      <c r="E131" s="224">
        <f>IF(D131=0,0,(Service_Numbers!N63/(VLOOKUP($G131,$B$7:$F$13,E$73,FALSE)))/52)</f>
        <v>0</v>
      </c>
      <c r="F131" s="224">
        <f>IF(E131=0,0,(Service_Numbers!O63/(VLOOKUP($G131,$B$7:$F$13,F$73,FALSE)))/52)</f>
        <v>0</v>
      </c>
      <c r="G131" s="112" t="str">
        <f>Service_Numbers!AA63</f>
        <v/>
      </c>
    </row>
    <row r="132" spans="1:7" x14ac:dyDescent="0.4">
      <c r="A132">
        <v>59</v>
      </c>
      <c r="B132" s="98">
        <f>'3. Intervention Details'!B64</f>
        <v>0</v>
      </c>
      <c r="C132" s="224">
        <f>IF(B132=0,0,(Service_Numbers!L64/(VLOOKUP($G132,$B$7:$F$13,C$73,FALSE)))/52)</f>
        <v>0</v>
      </c>
      <c r="D132" s="224">
        <f>IF(C132=0,0,(Service_Numbers!M64/(VLOOKUP($G132,$B$7:$F$13,D$73,FALSE)))/52)</f>
        <v>0</v>
      </c>
      <c r="E132" s="224">
        <f>IF(D132=0,0,(Service_Numbers!N64/(VLOOKUP($G132,$B$7:$F$13,E$73,FALSE)))/52)</f>
        <v>0</v>
      </c>
      <c r="F132" s="224">
        <f>IF(E132=0,0,(Service_Numbers!O64/(VLOOKUP($G132,$B$7:$F$13,F$73,FALSE)))/52)</f>
        <v>0</v>
      </c>
      <c r="G132" s="112" t="str">
        <f>Service_Numbers!AA64</f>
        <v/>
      </c>
    </row>
    <row r="133" spans="1:7" x14ac:dyDescent="0.4">
      <c r="A133">
        <v>60</v>
      </c>
      <c r="B133" s="98">
        <f>'3. Intervention Details'!B65</f>
        <v>0</v>
      </c>
      <c r="C133" s="224">
        <f>IF(B133=0,0,(Service_Numbers!L65/(VLOOKUP($G133,$B$7:$F$13,C$73,FALSE)))/52)</f>
        <v>0</v>
      </c>
      <c r="D133" s="224">
        <f>IF(C133=0,0,(Service_Numbers!M65/(VLOOKUP($G133,$B$7:$F$13,D$73,FALSE)))/52)</f>
        <v>0</v>
      </c>
      <c r="E133" s="224">
        <f>IF(D133=0,0,(Service_Numbers!N65/(VLOOKUP($G133,$B$7:$F$13,E$73,FALSE)))/52)</f>
        <v>0</v>
      </c>
      <c r="F133" s="224">
        <f>IF(E133=0,0,(Service_Numbers!O65/(VLOOKUP($G133,$B$7:$F$13,F$73,FALSE)))/52)</f>
        <v>0</v>
      </c>
      <c r="G133" s="112" t="str">
        <f>Service_Numbers!AA65</f>
        <v/>
      </c>
    </row>
    <row r="134" spans="1:7" x14ac:dyDescent="0.4">
      <c r="A134">
        <v>61</v>
      </c>
      <c r="B134" s="98">
        <f>'3. Intervention Details'!B66</f>
        <v>0</v>
      </c>
      <c r="C134" s="224">
        <f>IF(B134=0,0,(Service_Numbers!L66/(VLOOKUP($G134,$B$7:$F$13,C$73,FALSE)))/52)</f>
        <v>0</v>
      </c>
      <c r="D134" s="224">
        <f>IF(C134=0,0,(Service_Numbers!M66/(VLOOKUP($G134,$B$7:$F$13,D$73,FALSE)))/52)</f>
        <v>0</v>
      </c>
      <c r="E134" s="224">
        <f>IF(D134=0,0,(Service_Numbers!N66/(VLOOKUP($G134,$B$7:$F$13,E$73,FALSE)))/52)</f>
        <v>0</v>
      </c>
      <c r="F134" s="224">
        <f>IF(E134=0,0,(Service_Numbers!O66/(VLOOKUP($G134,$B$7:$F$13,F$73,FALSE)))/52)</f>
        <v>0</v>
      </c>
      <c r="G134" s="112" t="str">
        <f>Service_Numbers!AA66</f>
        <v/>
      </c>
    </row>
    <row r="135" spans="1:7" x14ac:dyDescent="0.4">
      <c r="A135">
        <v>62</v>
      </c>
      <c r="B135" s="98">
        <f>'3. Intervention Details'!B67</f>
        <v>0</v>
      </c>
      <c r="C135" s="224">
        <f>IF(B135=0,0,(Service_Numbers!L67/(VLOOKUP($G135,$B$7:$F$13,C$73,FALSE)))/52)</f>
        <v>0</v>
      </c>
      <c r="D135" s="224">
        <f>IF(C135=0,0,(Service_Numbers!M67/(VLOOKUP($G135,$B$7:$F$13,D$73,FALSE)))/52)</f>
        <v>0</v>
      </c>
      <c r="E135" s="224">
        <f>IF(D135=0,0,(Service_Numbers!N67/(VLOOKUP($G135,$B$7:$F$13,E$73,FALSE)))/52)</f>
        <v>0</v>
      </c>
      <c r="F135" s="224">
        <f>IF(E135=0,0,(Service_Numbers!O67/(VLOOKUP($G135,$B$7:$F$13,F$73,FALSE)))/52)</f>
        <v>0</v>
      </c>
      <c r="G135" s="112" t="str">
        <f>Service_Numbers!AA67</f>
        <v/>
      </c>
    </row>
    <row r="136" spans="1:7" x14ac:dyDescent="0.4">
      <c r="A136">
        <v>63</v>
      </c>
      <c r="B136" s="98">
        <f>'3. Intervention Details'!B68</f>
        <v>0</v>
      </c>
      <c r="C136" s="224">
        <f>IF(B136=0,0,(Service_Numbers!L68/(VLOOKUP($G136,$B$7:$F$13,C$73,FALSE)))/52)</f>
        <v>0</v>
      </c>
      <c r="D136" s="224">
        <f>IF(C136=0,0,(Service_Numbers!M68/(VLOOKUP($G136,$B$7:$F$13,D$73,FALSE)))/52)</f>
        <v>0</v>
      </c>
      <c r="E136" s="224">
        <f>IF(D136=0,0,(Service_Numbers!N68/(VLOOKUP($G136,$B$7:$F$13,E$73,FALSE)))/52)</f>
        <v>0</v>
      </c>
      <c r="F136" s="224">
        <f>IF(E136=0,0,(Service_Numbers!O68/(VLOOKUP($G136,$B$7:$F$13,F$73,FALSE)))/52)</f>
        <v>0</v>
      </c>
      <c r="G136" s="112" t="str">
        <f>Service_Numbers!AA68</f>
        <v/>
      </c>
    </row>
    <row r="137" spans="1:7" x14ac:dyDescent="0.4">
      <c r="A137">
        <v>64</v>
      </c>
      <c r="B137" s="98">
        <f>'3. Intervention Details'!B69</f>
        <v>0</v>
      </c>
      <c r="C137" s="224">
        <f>IF(B137=0,0,(Service_Numbers!L69/(VLOOKUP($G137,$B$7:$F$13,C$73,FALSE)))/52)</f>
        <v>0</v>
      </c>
      <c r="D137" s="224">
        <f>IF(C137=0,0,(Service_Numbers!M69/(VLOOKUP($G137,$B$7:$F$13,D$73,FALSE)))/52)</f>
        <v>0</v>
      </c>
      <c r="E137" s="224">
        <f>IF(D137=0,0,(Service_Numbers!N69/(VLOOKUP($G137,$B$7:$F$13,E$73,FALSE)))/52)</f>
        <v>0</v>
      </c>
      <c r="F137" s="224">
        <f>IF(E137=0,0,(Service_Numbers!O69/(VLOOKUP($G137,$B$7:$F$13,F$73,FALSE)))/52)</f>
        <v>0</v>
      </c>
      <c r="G137" s="112" t="str">
        <f>Service_Numbers!AA69</f>
        <v/>
      </c>
    </row>
    <row r="138" spans="1:7" x14ac:dyDescent="0.4">
      <c r="A138">
        <v>65</v>
      </c>
      <c r="B138" s="98">
        <f>'3. Intervention Details'!B70</f>
        <v>0</v>
      </c>
      <c r="C138" s="224">
        <f>IF(B138=0,0,(Service_Numbers!L70/(VLOOKUP($G138,$B$7:$F$13,C$73,FALSE)))/52)</f>
        <v>0</v>
      </c>
      <c r="D138" s="224">
        <f>IF(C138=0,0,(Service_Numbers!M70/(VLOOKUP($G138,$B$7:$F$13,D$73,FALSE)))/52)</f>
        <v>0</v>
      </c>
      <c r="E138" s="224">
        <f>IF(D138=0,0,(Service_Numbers!N70/(VLOOKUP($G138,$B$7:$F$13,E$73,FALSE)))/52)</f>
        <v>0</v>
      </c>
      <c r="F138" s="224">
        <f>IF(E138=0,0,(Service_Numbers!O70/(VLOOKUP($G138,$B$7:$F$13,F$73,FALSE)))/52)</f>
        <v>0</v>
      </c>
      <c r="G138" s="112" t="str">
        <f>Service_Numbers!AA70</f>
        <v/>
      </c>
    </row>
    <row r="139" spans="1:7" x14ac:dyDescent="0.4">
      <c r="A139">
        <v>66</v>
      </c>
      <c r="B139" s="98">
        <f>'3. Intervention Details'!B71</f>
        <v>0</v>
      </c>
      <c r="C139" s="224">
        <f>IF(B139=0,0,(Service_Numbers!L71/(VLOOKUP($G139,$B$7:$F$13,C$73,FALSE)))/52)</f>
        <v>0</v>
      </c>
      <c r="D139" s="224">
        <f>IF(C139=0,0,(Service_Numbers!M71/(VLOOKUP($G139,$B$7:$F$13,D$73,FALSE)))/52)</f>
        <v>0</v>
      </c>
      <c r="E139" s="224">
        <f>IF(D139=0,0,(Service_Numbers!N71/(VLOOKUP($G139,$B$7:$F$13,E$73,FALSE)))/52)</f>
        <v>0</v>
      </c>
      <c r="F139" s="224">
        <f>IF(E139=0,0,(Service_Numbers!O71/(VLOOKUP($G139,$B$7:$F$13,F$73,FALSE)))/52)</f>
        <v>0</v>
      </c>
      <c r="G139" s="112" t="str">
        <f>Service_Numbers!AA71</f>
        <v/>
      </c>
    </row>
    <row r="140" spans="1:7" x14ac:dyDescent="0.4">
      <c r="A140">
        <v>67</v>
      </c>
      <c r="B140" s="98">
        <f>'3. Intervention Details'!B72</f>
        <v>0</v>
      </c>
      <c r="C140" s="224">
        <f>IF(B140=0,0,(Service_Numbers!L72/(VLOOKUP($G140,$B$7:$F$13,C$73,FALSE)))/52)</f>
        <v>0</v>
      </c>
      <c r="D140" s="224">
        <f>IF(C140=0,0,(Service_Numbers!M72/(VLOOKUP($G140,$B$7:$F$13,D$73,FALSE)))/52)</f>
        <v>0</v>
      </c>
      <c r="E140" s="224">
        <f>IF(D140=0,0,(Service_Numbers!N72/(VLOOKUP($G140,$B$7:$F$13,E$73,FALSE)))/52)</f>
        <v>0</v>
      </c>
      <c r="F140" s="224">
        <f>IF(E140=0,0,(Service_Numbers!O72/(VLOOKUP($G140,$B$7:$F$13,F$73,FALSE)))/52)</f>
        <v>0</v>
      </c>
      <c r="G140" s="112" t="str">
        <f>Service_Numbers!AA72</f>
        <v/>
      </c>
    </row>
    <row r="141" spans="1:7" x14ac:dyDescent="0.4">
      <c r="A141">
        <v>68</v>
      </c>
      <c r="B141" s="98">
        <f>'3. Intervention Details'!B73</f>
        <v>0</v>
      </c>
      <c r="C141" s="224">
        <f>IF(B141=0,0,(Service_Numbers!L73/(VLOOKUP($G141,$B$7:$F$13,C$73,FALSE)))/52)</f>
        <v>0</v>
      </c>
      <c r="D141" s="224">
        <f>IF(C141=0,0,(Service_Numbers!M73/(VLOOKUP($G141,$B$7:$F$13,D$73,FALSE)))/52)</f>
        <v>0</v>
      </c>
      <c r="E141" s="224">
        <f>IF(D141=0,0,(Service_Numbers!N73/(VLOOKUP($G141,$B$7:$F$13,E$73,FALSE)))/52)</f>
        <v>0</v>
      </c>
      <c r="F141" s="224">
        <f>IF(E141=0,0,(Service_Numbers!O73/(VLOOKUP($G141,$B$7:$F$13,F$73,FALSE)))/52)</f>
        <v>0</v>
      </c>
      <c r="G141" s="112" t="str">
        <f>Service_Numbers!AA73</f>
        <v/>
      </c>
    </row>
    <row r="142" spans="1:7" x14ac:dyDescent="0.4">
      <c r="A142">
        <v>69</v>
      </c>
      <c r="B142" s="98">
        <f>'3. Intervention Details'!B74</f>
        <v>0</v>
      </c>
      <c r="C142" s="224">
        <f>IF(B142=0,0,(Service_Numbers!L74/(VLOOKUP($G142,$B$7:$F$13,C$73,FALSE)))/52)</f>
        <v>0</v>
      </c>
      <c r="D142" s="224">
        <f>IF(C142=0,0,(Service_Numbers!M74/(VLOOKUP($G142,$B$7:$F$13,D$73,FALSE)))/52)</f>
        <v>0</v>
      </c>
      <c r="E142" s="224">
        <f>IF(D142=0,0,(Service_Numbers!N74/(VLOOKUP($G142,$B$7:$F$13,E$73,FALSE)))/52)</f>
        <v>0</v>
      </c>
      <c r="F142" s="224">
        <f>IF(E142=0,0,(Service_Numbers!O74/(VLOOKUP($G142,$B$7:$F$13,F$73,FALSE)))/52)</f>
        <v>0</v>
      </c>
      <c r="G142" s="112" t="str">
        <f>Service_Numbers!AA74</f>
        <v/>
      </c>
    </row>
    <row r="143" spans="1:7" x14ac:dyDescent="0.4">
      <c r="A143">
        <v>70</v>
      </c>
      <c r="B143" s="98">
        <f>'3. Intervention Details'!B75</f>
        <v>0</v>
      </c>
      <c r="C143" s="224">
        <f>IF(B143=0,0,(Service_Numbers!L75/(VLOOKUP($G143,$B$7:$F$13,C$73,FALSE)))/52)</f>
        <v>0</v>
      </c>
      <c r="D143" s="224">
        <f>IF(C143=0,0,(Service_Numbers!M75/(VLOOKUP($G143,$B$7:$F$13,D$73,FALSE)))/52)</f>
        <v>0</v>
      </c>
      <c r="E143" s="224">
        <f>IF(D143=0,0,(Service_Numbers!N75/(VLOOKUP($G143,$B$7:$F$13,E$73,FALSE)))/52)</f>
        <v>0</v>
      </c>
      <c r="F143" s="224">
        <f>IF(E143=0,0,(Service_Numbers!O75/(VLOOKUP($G143,$B$7:$F$13,F$73,FALSE)))/52)</f>
        <v>0</v>
      </c>
      <c r="G143" s="112" t="str">
        <f>Service_Numbers!AA75</f>
        <v/>
      </c>
    </row>
    <row r="144" spans="1:7" x14ac:dyDescent="0.4">
      <c r="A144">
        <v>71</v>
      </c>
      <c r="B144" s="98">
        <f>'3. Intervention Details'!B76</f>
        <v>0</v>
      </c>
      <c r="C144" s="224">
        <f>IF(B144=0,0,(Service_Numbers!L76/(VLOOKUP($G144,$B$7:$F$13,C$73,FALSE)))/52)</f>
        <v>0</v>
      </c>
      <c r="D144" s="224">
        <f>IF(C144=0,0,(Service_Numbers!M76/(VLOOKUP($G144,$B$7:$F$13,D$73,FALSE)))/52)</f>
        <v>0</v>
      </c>
      <c r="E144" s="224">
        <f>IF(D144=0,0,(Service_Numbers!N76/(VLOOKUP($G144,$B$7:$F$13,E$73,FALSE)))/52)</f>
        <v>0</v>
      </c>
      <c r="F144" s="224">
        <f>IF(E144=0,0,(Service_Numbers!O76/(VLOOKUP($G144,$B$7:$F$13,F$73,FALSE)))/52)</f>
        <v>0</v>
      </c>
      <c r="G144" s="112" t="str">
        <f>Service_Numbers!AA76</f>
        <v/>
      </c>
    </row>
    <row r="145" spans="1:7" x14ac:dyDescent="0.4">
      <c r="A145">
        <v>72</v>
      </c>
      <c r="B145" s="98">
        <f>'3. Intervention Details'!B77</f>
        <v>0</v>
      </c>
      <c r="C145" s="224">
        <f>IF(B145=0,0,(Service_Numbers!L77/(VLOOKUP($G145,$B$7:$F$13,C$73,FALSE)))/52)</f>
        <v>0</v>
      </c>
      <c r="D145" s="224">
        <f>IF(C145=0,0,(Service_Numbers!M77/(VLOOKUP($G145,$B$7:$F$13,D$73,FALSE)))/52)</f>
        <v>0</v>
      </c>
      <c r="E145" s="224">
        <f>IF(D145=0,0,(Service_Numbers!N77/(VLOOKUP($G145,$B$7:$F$13,E$73,FALSE)))/52)</f>
        <v>0</v>
      </c>
      <c r="F145" s="224">
        <f>IF(E145=0,0,(Service_Numbers!O77/(VLOOKUP($G145,$B$7:$F$13,F$73,FALSE)))/52)</f>
        <v>0</v>
      </c>
      <c r="G145" s="112" t="str">
        <f>Service_Numbers!AA77</f>
        <v/>
      </c>
    </row>
    <row r="146" spans="1:7" x14ac:dyDescent="0.4">
      <c r="A146">
        <v>73</v>
      </c>
      <c r="B146" s="98">
        <f>'3. Intervention Details'!B78</f>
        <v>0</v>
      </c>
      <c r="C146" s="224">
        <f>IF(B146=0,0,(Service_Numbers!L78/(VLOOKUP($G146,$B$7:$F$13,C$73,FALSE)))/52)</f>
        <v>0</v>
      </c>
      <c r="D146" s="224">
        <f>IF(C146=0,0,(Service_Numbers!M78/(VLOOKUP($G146,$B$7:$F$13,D$73,FALSE)))/52)</f>
        <v>0</v>
      </c>
      <c r="E146" s="224">
        <f>IF(D146=0,0,(Service_Numbers!N78/(VLOOKUP($G146,$B$7:$F$13,E$73,FALSE)))/52)</f>
        <v>0</v>
      </c>
      <c r="F146" s="224">
        <f>IF(E146=0,0,(Service_Numbers!O78/(VLOOKUP($G146,$B$7:$F$13,F$73,FALSE)))/52)</f>
        <v>0</v>
      </c>
      <c r="G146" s="112" t="str">
        <f>Service_Numbers!AA78</f>
        <v/>
      </c>
    </row>
    <row r="147" spans="1:7" x14ac:dyDescent="0.4">
      <c r="A147">
        <v>74</v>
      </c>
      <c r="B147" s="98">
        <f>'3. Intervention Details'!B79</f>
        <v>0</v>
      </c>
      <c r="C147" s="224">
        <f>IF(B147=0,0,(Service_Numbers!L79/(VLOOKUP($G147,$B$7:$F$13,C$73,FALSE)))/52)</f>
        <v>0</v>
      </c>
      <c r="D147" s="224">
        <f>IF(C147=0,0,(Service_Numbers!M79/(VLOOKUP($G147,$B$7:$F$13,D$73,FALSE)))/52)</f>
        <v>0</v>
      </c>
      <c r="E147" s="224">
        <f>IF(D147=0,0,(Service_Numbers!N79/(VLOOKUP($G147,$B$7:$F$13,E$73,FALSE)))/52)</f>
        <v>0</v>
      </c>
      <c r="F147" s="224">
        <f>IF(E147=0,0,(Service_Numbers!O79/(VLOOKUP($G147,$B$7:$F$13,F$73,FALSE)))/52)</f>
        <v>0</v>
      </c>
      <c r="G147" s="112" t="str">
        <f>Service_Numbers!AA79</f>
        <v/>
      </c>
    </row>
    <row r="148" spans="1:7" x14ac:dyDescent="0.4">
      <c r="A148">
        <v>75</v>
      </c>
      <c r="B148" s="98">
        <f>'3. Intervention Details'!B80</f>
        <v>0</v>
      </c>
      <c r="C148" s="224">
        <f>IF(B148=0,0,(Service_Numbers!L80/(VLOOKUP($G148,$B$7:$F$13,C$73,FALSE)))/52)</f>
        <v>0</v>
      </c>
      <c r="D148" s="224">
        <f>IF(C148=0,0,(Service_Numbers!M80/(VLOOKUP($G148,$B$7:$F$13,D$73,FALSE)))/52)</f>
        <v>0</v>
      </c>
      <c r="E148" s="224">
        <f>IF(D148=0,0,(Service_Numbers!N80/(VLOOKUP($G148,$B$7:$F$13,E$73,FALSE)))/52)</f>
        <v>0</v>
      </c>
      <c r="F148" s="224">
        <f>IF(E148=0,0,(Service_Numbers!O80/(VLOOKUP($G148,$B$7:$F$13,F$73,FALSE)))/52)</f>
        <v>0</v>
      </c>
      <c r="G148" s="112" t="str">
        <f>Service_Numbers!AA80</f>
        <v/>
      </c>
    </row>
    <row r="149" spans="1:7" x14ac:dyDescent="0.4">
      <c r="A149">
        <v>76</v>
      </c>
      <c r="B149" s="98">
        <f>'3. Intervention Details'!B81</f>
        <v>0</v>
      </c>
      <c r="C149" s="224">
        <f>IF(B149=0,0,(Service_Numbers!L81/(VLOOKUP($G149,$B$7:$F$13,C$73,FALSE)))/52)</f>
        <v>0</v>
      </c>
      <c r="D149" s="224">
        <f>IF(C149=0,0,(Service_Numbers!M81/(VLOOKUP($G149,$B$7:$F$13,D$73,FALSE)))/52)</f>
        <v>0</v>
      </c>
      <c r="E149" s="224">
        <f>IF(D149=0,0,(Service_Numbers!N81/(VLOOKUP($G149,$B$7:$F$13,E$73,FALSE)))/52)</f>
        <v>0</v>
      </c>
      <c r="F149" s="224">
        <f>IF(E149=0,0,(Service_Numbers!O81/(VLOOKUP($G149,$B$7:$F$13,F$73,FALSE)))/52)</f>
        <v>0</v>
      </c>
      <c r="G149" s="112" t="str">
        <f>Service_Numbers!AA81</f>
        <v/>
      </c>
    </row>
    <row r="150" spans="1:7" x14ac:dyDescent="0.4">
      <c r="A150">
        <v>77</v>
      </c>
      <c r="B150" s="98">
        <f>'3. Intervention Details'!B82</f>
        <v>0</v>
      </c>
      <c r="C150" s="224">
        <f>IF(B150=0,0,(Service_Numbers!L82/(VLOOKUP($G150,$B$7:$F$13,C$73,FALSE)))/52)</f>
        <v>0</v>
      </c>
      <c r="D150" s="224">
        <f>IF(C150=0,0,(Service_Numbers!M82/(VLOOKUP($G150,$B$7:$F$13,D$73,FALSE)))/52)</f>
        <v>0</v>
      </c>
      <c r="E150" s="224">
        <f>IF(D150=0,0,(Service_Numbers!N82/(VLOOKUP($G150,$B$7:$F$13,E$73,FALSE)))/52)</f>
        <v>0</v>
      </c>
      <c r="F150" s="224">
        <f>IF(E150=0,0,(Service_Numbers!O82/(VLOOKUP($G150,$B$7:$F$13,F$73,FALSE)))/52)</f>
        <v>0</v>
      </c>
      <c r="G150" s="112" t="str">
        <f>Service_Numbers!AA82</f>
        <v/>
      </c>
    </row>
    <row r="151" spans="1:7" x14ac:dyDescent="0.4">
      <c r="A151">
        <v>78</v>
      </c>
      <c r="B151" s="98">
        <f>'3. Intervention Details'!B83</f>
        <v>0</v>
      </c>
      <c r="C151" s="224">
        <f>IF(B151=0,0,(Service_Numbers!L83/(VLOOKUP($G151,$B$7:$F$13,C$73,FALSE)))/52)</f>
        <v>0</v>
      </c>
      <c r="D151" s="224">
        <f>IF(C151=0,0,(Service_Numbers!M83/(VLOOKUP($G151,$B$7:$F$13,D$73,FALSE)))/52)</f>
        <v>0</v>
      </c>
      <c r="E151" s="224">
        <f>IF(D151=0,0,(Service_Numbers!N83/(VLOOKUP($G151,$B$7:$F$13,E$73,FALSE)))/52)</f>
        <v>0</v>
      </c>
      <c r="F151" s="224">
        <f>IF(E151=0,0,(Service_Numbers!O83/(VLOOKUP($G151,$B$7:$F$13,F$73,FALSE)))/52)</f>
        <v>0</v>
      </c>
      <c r="G151" s="112" t="str">
        <f>Service_Numbers!AA83</f>
        <v/>
      </c>
    </row>
    <row r="152" spans="1:7" x14ac:dyDescent="0.4">
      <c r="A152">
        <v>79</v>
      </c>
      <c r="B152" s="98">
        <f>'3. Intervention Details'!B84</f>
        <v>0</v>
      </c>
      <c r="C152" s="224">
        <f>IF(B152=0,0,(Service_Numbers!L84/(VLOOKUP($G152,$B$7:$F$13,C$73,FALSE)))/52)</f>
        <v>0</v>
      </c>
      <c r="D152" s="224">
        <f>IF(C152=0,0,(Service_Numbers!M84/(VLOOKUP($G152,$B$7:$F$13,D$73,FALSE)))/52)</f>
        <v>0</v>
      </c>
      <c r="E152" s="224">
        <f>IF(D152=0,0,(Service_Numbers!N84/(VLOOKUP($G152,$B$7:$F$13,E$73,FALSE)))/52)</f>
        <v>0</v>
      </c>
      <c r="F152" s="224">
        <f>IF(E152=0,0,(Service_Numbers!O84/(VLOOKUP($G152,$B$7:$F$13,F$73,FALSE)))/52)</f>
        <v>0</v>
      </c>
      <c r="G152" s="112" t="str">
        <f>Service_Numbers!AA84</f>
        <v/>
      </c>
    </row>
    <row r="153" spans="1:7" x14ac:dyDescent="0.4">
      <c r="A153">
        <v>80</v>
      </c>
      <c r="B153" s="98">
        <f>'3. Intervention Details'!B85</f>
        <v>0</v>
      </c>
      <c r="C153" s="224">
        <f>IF(B153=0,0,(Service_Numbers!L85/(VLOOKUP($G153,$B$7:$F$13,C$73,FALSE)))/52)</f>
        <v>0</v>
      </c>
      <c r="D153" s="224">
        <f>IF(C153=0,0,(Service_Numbers!M85/(VLOOKUP($G153,$B$7:$F$13,D$73,FALSE)))/52)</f>
        <v>0</v>
      </c>
      <c r="E153" s="224">
        <f>IF(D153=0,0,(Service_Numbers!N85/(VLOOKUP($G153,$B$7:$F$13,E$73,FALSE)))/52)</f>
        <v>0</v>
      </c>
      <c r="F153" s="224">
        <f>IF(E153=0,0,(Service_Numbers!O85/(VLOOKUP($G153,$B$7:$F$13,F$73,FALSE)))/52)</f>
        <v>0</v>
      </c>
      <c r="G153" s="112" t="str">
        <f>Service_Numbers!AA85</f>
        <v/>
      </c>
    </row>
    <row r="154" spans="1:7" x14ac:dyDescent="0.4">
      <c r="A154">
        <v>81</v>
      </c>
      <c r="B154" s="98">
        <f>'3. Intervention Details'!B86</f>
        <v>0</v>
      </c>
      <c r="C154" s="224">
        <f>IF(B154=0,0,(Service_Numbers!L86/(VLOOKUP($G154,$B$7:$F$13,C$73,FALSE)))/52)</f>
        <v>0</v>
      </c>
      <c r="D154" s="224">
        <f>IF(C154=0,0,(Service_Numbers!M86/(VLOOKUP($G154,$B$7:$F$13,D$73,FALSE)))/52)</f>
        <v>0</v>
      </c>
      <c r="E154" s="224">
        <f>IF(D154=0,0,(Service_Numbers!N86/(VLOOKUP($G154,$B$7:$F$13,E$73,FALSE)))/52)</f>
        <v>0</v>
      </c>
      <c r="F154" s="224">
        <f>IF(E154=0,0,(Service_Numbers!O86/(VLOOKUP($G154,$B$7:$F$13,F$73,FALSE)))/52)</f>
        <v>0</v>
      </c>
      <c r="G154" s="112" t="str">
        <f>Service_Numbers!AA86</f>
        <v/>
      </c>
    </row>
    <row r="155" spans="1:7" x14ac:dyDescent="0.4">
      <c r="A155">
        <v>82</v>
      </c>
      <c r="B155" s="98">
        <f>'3. Intervention Details'!B87</f>
        <v>0</v>
      </c>
      <c r="C155" s="224">
        <f>IF(B155=0,0,(Service_Numbers!L87/(VLOOKUP($G155,$B$7:$F$13,C$73,FALSE)))/52)</f>
        <v>0</v>
      </c>
      <c r="D155" s="224">
        <f>IF(C155=0,0,(Service_Numbers!M87/(VLOOKUP($G155,$B$7:$F$13,D$73,FALSE)))/52)</f>
        <v>0</v>
      </c>
      <c r="E155" s="224">
        <f>IF(D155=0,0,(Service_Numbers!N87/(VLOOKUP($G155,$B$7:$F$13,E$73,FALSE)))/52)</f>
        <v>0</v>
      </c>
      <c r="F155" s="224">
        <f>IF(E155=0,0,(Service_Numbers!O87/(VLOOKUP($G155,$B$7:$F$13,F$73,FALSE)))/52)</f>
        <v>0</v>
      </c>
      <c r="G155" s="112" t="str">
        <f>Service_Numbers!AA87</f>
        <v/>
      </c>
    </row>
    <row r="156" spans="1:7" x14ac:dyDescent="0.4">
      <c r="A156">
        <v>83</v>
      </c>
      <c r="B156" s="98">
        <f>'3. Intervention Details'!B88</f>
        <v>0</v>
      </c>
      <c r="C156" s="224">
        <f>IF(B156=0,0,(Service_Numbers!L88/(VLOOKUP($G156,$B$7:$F$13,C$73,FALSE)))/52)</f>
        <v>0</v>
      </c>
      <c r="D156" s="224">
        <f>IF(C156=0,0,(Service_Numbers!M88/(VLOOKUP($G156,$B$7:$F$13,D$73,FALSE)))/52)</f>
        <v>0</v>
      </c>
      <c r="E156" s="224">
        <f>IF(D156=0,0,(Service_Numbers!N88/(VLOOKUP($G156,$B$7:$F$13,E$73,FALSE)))/52)</f>
        <v>0</v>
      </c>
      <c r="F156" s="224">
        <f>IF(E156=0,0,(Service_Numbers!O88/(VLOOKUP($G156,$B$7:$F$13,F$73,FALSE)))/52)</f>
        <v>0</v>
      </c>
      <c r="G156" s="112" t="str">
        <f>Service_Numbers!AA88</f>
        <v/>
      </c>
    </row>
    <row r="157" spans="1:7" x14ac:dyDescent="0.4">
      <c r="A157">
        <v>84</v>
      </c>
      <c r="B157" s="98">
        <f>'3. Intervention Details'!B89</f>
        <v>0</v>
      </c>
      <c r="C157" s="224">
        <f>IF(B157=0,0,(Service_Numbers!L89/(VLOOKUP($G157,$B$7:$F$13,C$73,FALSE)))/52)</f>
        <v>0</v>
      </c>
      <c r="D157" s="224">
        <f>IF(C157=0,0,(Service_Numbers!M89/(VLOOKUP($G157,$B$7:$F$13,D$73,FALSE)))/52)</f>
        <v>0</v>
      </c>
      <c r="E157" s="224">
        <f>IF(D157=0,0,(Service_Numbers!N89/(VLOOKUP($G157,$B$7:$F$13,E$73,FALSE)))/52)</f>
        <v>0</v>
      </c>
      <c r="F157" s="224">
        <f>IF(E157=0,0,(Service_Numbers!O89/(VLOOKUP($G157,$B$7:$F$13,F$73,FALSE)))/52)</f>
        <v>0</v>
      </c>
      <c r="G157" s="112" t="str">
        <f>Service_Numbers!AA89</f>
        <v/>
      </c>
    </row>
    <row r="158" spans="1:7" x14ac:dyDescent="0.4">
      <c r="A158">
        <v>85</v>
      </c>
      <c r="B158" s="98">
        <f>'3. Intervention Details'!B90</f>
        <v>0</v>
      </c>
      <c r="C158" s="224">
        <f>IF(B158=0,0,(Service_Numbers!L90/(VLOOKUP($G158,$B$7:$F$13,C$73,FALSE)))/52)</f>
        <v>0</v>
      </c>
      <c r="D158" s="224">
        <f>IF(C158=0,0,(Service_Numbers!M90/(VLOOKUP($G158,$B$7:$F$13,D$73,FALSE)))/52)</f>
        <v>0</v>
      </c>
      <c r="E158" s="224">
        <f>IF(D158=0,0,(Service_Numbers!N90/(VLOOKUP($G158,$B$7:$F$13,E$73,FALSE)))/52)</f>
        <v>0</v>
      </c>
      <c r="F158" s="224">
        <f>IF(E158=0,0,(Service_Numbers!O90/(VLOOKUP($G158,$B$7:$F$13,F$73,FALSE)))/52)</f>
        <v>0</v>
      </c>
      <c r="G158" s="112" t="str">
        <f>Service_Numbers!AA90</f>
        <v/>
      </c>
    </row>
    <row r="159" spans="1:7" x14ac:dyDescent="0.4">
      <c r="A159">
        <v>86</v>
      </c>
      <c r="B159" s="98">
        <f>'3. Intervention Details'!B91</f>
        <v>0</v>
      </c>
      <c r="C159" s="224">
        <f>IF(B159=0,0,(Service_Numbers!L91/(VLOOKUP($G159,$B$7:$F$13,C$73,FALSE)))/52)</f>
        <v>0</v>
      </c>
      <c r="D159" s="224">
        <f>IF(C159=0,0,(Service_Numbers!M91/(VLOOKUP($G159,$B$7:$F$13,D$73,FALSE)))/52)</f>
        <v>0</v>
      </c>
      <c r="E159" s="224">
        <f>IF(D159=0,0,(Service_Numbers!N91/(VLOOKUP($G159,$B$7:$F$13,E$73,FALSE)))/52)</f>
        <v>0</v>
      </c>
      <c r="F159" s="224">
        <f>IF(E159=0,0,(Service_Numbers!O91/(VLOOKUP($G159,$B$7:$F$13,F$73,FALSE)))/52)</f>
        <v>0</v>
      </c>
      <c r="G159" s="112" t="str">
        <f>Service_Numbers!AA91</f>
        <v/>
      </c>
    </row>
    <row r="160" spans="1:7" x14ac:dyDescent="0.4">
      <c r="A160">
        <v>87</v>
      </c>
      <c r="B160" s="98">
        <f>'3. Intervention Details'!B92</f>
        <v>0</v>
      </c>
      <c r="C160" s="224">
        <f>IF(B160=0,0,(Service_Numbers!L92/(VLOOKUP($G160,$B$7:$F$13,C$73,FALSE)))/52)</f>
        <v>0</v>
      </c>
      <c r="D160" s="224">
        <f>IF(C160=0,0,(Service_Numbers!M92/(VLOOKUP($G160,$B$7:$F$13,D$73,FALSE)))/52)</f>
        <v>0</v>
      </c>
      <c r="E160" s="224">
        <f>IF(D160=0,0,(Service_Numbers!N92/(VLOOKUP($G160,$B$7:$F$13,E$73,FALSE)))/52)</f>
        <v>0</v>
      </c>
      <c r="F160" s="224">
        <f>IF(E160=0,0,(Service_Numbers!O92/(VLOOKUP($G160,$B$7:$F$13,F$73,FALSE)))/52)</f>
        <v>0</v>
      </c>
      <c r="G160" s="112" t="str">
        <f>Service_Numbers!AA92</f>
        <v/>
      </c>
    </row>
    <row r="161" spans="1:7" x14ac:dyDescent="0.4">
      <c r="A161">
        <v>88</v>
      </c>
      <c r="B161" s="98">
        <f>'3. Intervention Details'!B93</f>
        <v>0</v>
      </c>
      <c r="C161" s="224">
        <f>IF(B161=0,0,(Service_Numbers!L93/(VLOOKUP($G161,$B$7:$F$13,C$73,FALSE)))/52)</f>
        <v>0</v>
      </c>
      <c r="D161" s="224">
        <f>IF(C161=0,0,(Service_Numbers!M93/(VLOOKUP($G161,$B$7:$F$13,D$73,FALSE)))/52)</f>
        <v>0</v>
      </c>
      <c r="E161" s="224">
        <f>IF(D161=0,0,(Service_Numbers!N93/(VLOOKUP($G161,$B$7:$F$13,E$73,FALSE)))/52)</f>
        <v>0</v>
      </c>
      <c r="F161" s="224">
        <f>IF(E161=0,0,(Service_Numbers!O93/(VLOOKUP($G161,$B$7:$F$13,F$73,FALSE)))/52)</f>
        <v>0</v>
      </c>
      <c r="G161" s="112" t="str">
        <f>Service_Numbers!AA93</f>
        <v/>
      </c>
    </row>
    <row r="162" spans="1:7" x14ac:dyDescent="0.4">
      <c r="A162">
        <v>89</v>
      </c>
      <c r="B162" s="98">
        <f>'3. Intervention Details'!B94</f>
        <v>0</v>
      </c>
      <c r="C162" s="224">
        <f>IF(B162=0,0,(Service_Numbers!L94/(VLOOKUP($G162,$B$7:$F$13,C$73,FALSE)))/52)</f>
        <v>0</v>
      </c>
      <c r="D162" s="224">
        <f>IF(C162=0,0,(Service_Numbers!M94/(VLOOKUP($G162,$B$7:$F$13,D$73,FALSE)))/52)</f>
        <v>0</v>
      </c>
      <c r="E162" s="224">
        <f>IF(D162=0,0,(Service_Numbers!N94/(VLOOKUP($G162,$B$7:$F$13,E$73,FALSE)))/52)</f>
        <v>0</v>
      </c>
      <c r="F162" s="224">
        <f>IF(E162=0,0,(Service_Numbers!O94/(VLOOKUP($G162,$B$7:$F$13,F$73,FALSE)))/52)</f>
        <v>0</v>
      </c>
      <c r="G162" s="112" t="str">
        <f>Service_Numbers!AA94</f>
        <v/>
      </c>
    </row>
    <row r="163" spans="1:7" x14ac:dyDescent="0.4">
      <c r="A163">
        <v>90</v>
      </c>
      <c r="B163" s="98">
        <f>'3. Intervention Details'!B95</f>
        <v>0</v>
      </c>
      <c r="C163" s="224">
        <f>IF(B163=0,0,(Service_Numbers!L95/(VLOOKUP($G163,$B$7:$F$13,C$73,FALSE)))/52)</f>
        <v>0</v>
      </c>
      <c r="D163" s="224">
        <f>IF(C163=0,0,(Service_Numbers!M95/(VLOOKUP($G163,$B$7:$F$13,D$73,FALSE)))/52)</f>
        <v>0</v>
      </c>
      <c r="E163" s="224">
        <f>IF(D163=0,0,(Service_Numbers!N95/(VLOOKUP($G163,$B$7:$F$13,E$73,FALSE)))/52)</f>
        <v>0</v>
      </c>
      <c r="F163" s="224">
        <f>IF(E163=0,0,(Service_Numbers!O95/(VLOOKUP($G163,$B$7:$F$13,F$73,FALSE)))/52)</f>
        <v>0</v>
      </c>
      <c r="G163" s="112" t="str">
        <f>Service_Numbers!AA95</f>
        <v/>
      </c>
    </row>
    <row r="164" spans="1:7" x14ac:dyDescent="0.4">
      <c r="A164">
        <v>91</v>
      </c>
      <c r="B164" s="98">
        <f>'3. Intervention Details'!B96</f>
        <v>0</v>
      </c>
      <c r="C164" s="224">
        <f>IF(B164=0,0,(Service_Numbers!L96/(VLOOKUP($G164,$B$7:$F$13,C$73,FALSE)))/52)</f>
        <v>0</v>
      </c>
      <c r="D164" s="224">
        <f>IF(C164=0,0,(Service_Numbers!M96/(VLOOKUP($G164,$B$7:$F$13,D$73,FALSE)))/52)</f>
        <v>0</v>
      </c>
      <c r="E164" s="224">
        <f>IF(D164=0,0,(Service_Numbers!N96/(VLOOKUP($G164,$B$7:$F$13,E$73,FALSE)))/52)</f>
        <v>0</v>
      </c>
      <c r="F164" s="224">
        <f>IF(E164=0,0,(Service_Numbers!O96/(VLOOKUP($G164,$B$7:$F$13,F$73,FALSE)))/52)</f>
        <v>0</v>
      </c>
      <c r="G164" s="112" t="str">
        <f>Service_Numbers!AA96</f>
        <v/>
      </c>
    </row>
    <row r="165" spans="1:7" x14ac:dyDescent="0.4">
      <c r="A165">
        <v>92</v>
      </c>
      <c r="B165" s="98">
        <f>'3. Intervention Details'!B97</f>
        <v>0</v>
      </c>
      <c r="C165" s="224">
        <f>IF(B165=0,0,(Service_Numbers!L97/(VLOOKUP($G165,$B$7:$F$13,C$73,FALSE)))/52)</f>
        <v>0</v>
      </c>
      <c r="D165" s="224">
        <f>IF(C165=0,0,(Service_Numbers!M97/(VLOOKUP($G165,$B$7:$F$13,D$73,FALSE)))/52)</f>
        <v>0</v>
      </c>
      <c r="E165" s="224">
        <f>IF(D165=0,0,(Service_Numbers!N97/(VLOOKUP($G165,$B$7:$F$13,E$73,FALSE)))/52)</f>
        <v>0</v>
      </c>
      <c r="F165" s="224">
        <f>IF(E165=0,0,(Service_Numbers!O97/(VLOOKUP($G165,$B$7:$F$13,F$73,FALSE)))/52)</f>
        <v>0</v>
      </c>
      <c r="G165" s="112" t="str">
        <f>Service_Numbers!AA97</f>
        <v/>
      </c>
    </row>
    <row r="166" spans="1:7" x14ac:dyDescent="0.4">
      <c r="A166">
        <v>93</v>
      </c>
      <c r="B166" s="98">
        <f>'3. Intervention Details'!B98</f>
        <v>0</v>
      </c>
      <c r="C166" s="224">
        <f>IF(B166=0,0,(Service_Numbers!L98/(VLOOKUP($G166,$B$7:$F$13,C$73,FALSE)))/52)</f>
        <v>0</v>
      </c>
      <c r="D166" s="224">
        <f>IF(C166=0,0,(Service_Numbers!M98/(VLOOKUP($G166,$B$7:$F$13,D$73,FALSE)))/52)</f>
        <v>0</v>
      </c>
      <c r="E166" s="224">
        <f>IF(D166=0,0,(Service_Numbers!N98/(VLOOKUP($G166,$B$7:$F$13,E$73,FALSE)))/52)</f>
        <v>0</v>
      </c>
      <c r="F166" s="224">
        <f>IF(E166=0,0,(Service_Numbers!O98/(VLOOKUP($G166,$B$7:$F$13,F$73,FALSE)))/52)</f>
        <v>0</v>
      </c>
      <c r="G166" s="112" t="str">
        <f>Service_Numbers!AA98</f>
        <v/>
      </c>
    </row>
    <row r="167" spans="1:7" x14ac:dyDescent="0.4">
      <c r="A167">
        <v>94</v>
      </c>
      <c r="B167" s="98">
        <f>'3. Intervention Details'!B99</f>
        <v>0</v>
      </c>
      <c r="C167" s="224">
        <f>IF(B167=0,0,(Service_Numbers!L99/(VLOOKUP($G167,$B$7:$F$13,C$73,FALSE)))/52)</f>
        <v>0</v>
      </c>
      <c r="D167" s="224">
        <f>IF(C167=0,0,(Service_Numbers!M99/(VLOOKUP($G167,$B$7:$F$13,D$73,FALSE)))/52)</f>
        <v>0</v>
      </c>
      <c r="E167" s="224">
        <f>IF(D167=0,0,(Service_Numbers!N99/(VLOOKUP($G167,$B$7:$F$13,E$73,FALSE)))/52)</f>
        <v>0</v>
      </c>
      <c r="F167" s="224">
        <f>IF(E167=0,0,(Service_Numbers!O99/(VLOOKUP($G167,$B$7:$F$13,F$73,FALSE)))/52)</f>
        <v>0</v>
      </c>
      <c r="G167" s="112" t="str">
        <f>Service_Numbers!AA99</f>
        <v/>
      </c>
    </row>
    <row r="168" spans="1:7" x14ac:dyDescent="0.4">
      <c r="A168">
        <v>95</v>
      </c>
      <c r="B168" s="98">
        <f>'3. Intervention Details'!B100</f>
        <v>0</v>
      </c>
      <c r="C168" s="224">
        <f>IF(B168=0,0,(Service_Numbers!L100/(VLOOKUP($G168,$B$7:$F$13,C$73,FALSE)))/52)</f>
        <v>0</v>
      </c>
      <c r="D168" s="224">
        <f>IF(C168=0,0,(Service_Numbers!M100/(VLOOKUP($G168,$B$7:$F$13,D$73,FALSE)))/52)</f>
        <v>0</v>
      </c>
      <c r="E168" s="224">
        <f>IF(D168=0,0,(Service_Numbers!N100/(VLOOKUP($G168,$B$7:$F$13,E$73,FALSE)))/52)</f>
        <v>0</v>
      </c>
      <c r="F168" s="224">
        <f>IF(E168=0,0,(Service_Numbers!O100/(VLOOKUP($G168,$B$7:$F$13,F$73,FALSE)))/52)</f>
        <v>0</v>
      </c>
      <c r="G168" s="112" t="str">
        <f>Service_Numbers!AA100</f>
        <v/>
      </c>
    </row>
    <row r="169" spans="1:7" x14ac:dyDescent="0.4">
      <c r="A169">
        <v>96</v>
      </c>
      <c r="B169" s="98">
        <f>'3. Intervention Details'!B101</f>
        <v>0</v>
      </c>
      <c r="C169" s="224">
        <f>IF(B169=0,0,(Service_Numbers!L101/(VLOOKUP($G169,$B$7:$F$13,C$73,FALSE)))/52)</f>
        <v>0</v>
      </c>
      <c r="D169" s="224">
        <f>IF(C169=0,0,(Service_Numbers!M101/(VLOOKUP($G169,$B$7:$F$13,D$73,FALSE)))/52)</f>
        <v>0</v>
      </c>
      <c r="E169" s="224">
        <f>IF(D169=0,0,(Service_Numbers!N101/(VLOOKUP($G169,$B$7:$F$13,E$73,FALSE)))/52)</f>
        <v>0</v>
      </c>
      <c r="F169" s="224">
        <f>IF(E169=0,0,(Service_Numbers!O101/(VLOOKUP($G169,$B$7:$F$13,F$73,FALSE)))/52)</f>
        <v>0</v>
      </c>
      <c r="G169" s="112" t="str">
        <f>Service_Numbers!AA101</f>
        <v/>
      </c>
    </row>
    <row r="170" spans="1:7" x14ac:dyDescent="0.4">
      <c r="A170">
        <v>97</v>
      </c>
      <c r="B170" s="98">
        <f>'3. Intervention Details'!B102</f>
        <v>0</v>
      </c>
      <c r="C170" s="224">
        <f>IF(B170=0,0,(Service_Numbers!L102/(VLOOKUP($G170,$B$7:$F$13,C$73,FALSE)))/52)</f>
        <v>0</v>
      </c>
      <c r="D170" s="224">
        <f>IF(C170=0,0,(Service_Numbers!M102/(VLOOKUP($G170,$B$7:$F$13,D$73,FALSE)))/52)</f>
        <v>0</v>
      </c>
      <c r="E170" s="224">
        <f>IF(D170=0,0,(Service_Numbers!N102/(VLOOKUP($G170,$B$7:$F$13,E$73,FALSE)))/52)</f>
        <v>0</v>
      </c>
      <c r="F170" s="224">
        <f>IF(E170=0,0,(Service_Numbers!O102/(VLOOKUP($G170,$B$7:$F$13,F$73,FALSE)))/52)</f>
        <v>0</v>
      </c>
      <c r="G170" s="112" t="str">
        <f>Service_Numbers!AA102</f>
        <v/>
      </c>
    </row>
    <row r="171" spans="1:7" x14ac:dyDescent="0.4">
      <c r="A171">
        <v>98</v>
      </c>
      <c r="B171" s="98">
        <f>'3. Intervention Details'!B103</f>
        <v>0</v>
      </c>
      <c r="C171" s="224">
        <f>IF(B171=0,0,(Service_Numbers!L103/(VLOOKUP($G171,$B$7:$F$13,C$73,FALSE)))/52)</f>
        <v>0</v>
      </c>
      <c r="D171" s="224">
        <f>IF(C171=0,0,(Service_Numbers!M103/(VLOOKUP($G171,$B$7:$F$13,D$73,FALSE)))/52)</f>
        <v>0</v>
      </c>
      <c r="E171" s="224">
        <f>IF(D171=0,0,(Service_Numbers!N103/(VLOOKUP($G171,$B$7:$F$13,E$73,FALSE)))/52)</f>
        <v>0</v>
      </c>
      <c r="F171" s="224">
        <f>IF(E171=0,0,(Service_Numbers!O103/(VLOOKUP($G171,$B$7:$F$13,F$73,FALSE)))/52)</f>
        <v>0</v>
      </c>
      <c r="G171" s="112" t="str">
        <f>Service_Numbers!AA103</f>
        <v/>
      </c>
    </row>
    <row r="172" spans="1:7" x14ac:dyDescent="0.4">
      <c r="A172">
        <v>99</v>
      </c>
      <c r="B172" s="98">
        <f>'3. Intervention Details'!B104</f>
        <v>0</v>
      </c>
      <c r="C172" s="224">
        <f>IF(B172=0,0,(Service_Numbers!L104/(VLOOKUP($G172,$B$7:$F$13,C$73,FALSE)))/52)</f>
        <v>0</v>
      </c>
      <c r="D172" s="224">
        <f>IF(C172=0,0,(Service_Numbers!M104/(VLOOKUP($G172,$B$7:$F$13,D$73,FALSE)))/52)</f>
        <v>0</v>
      </c>
      <c r="E172" s="224">
        <f>IF(D172=0,0,(Service_Numbers!N104/(VLOOKUP($G172,$B$7:$F$13,E$73,FALSE)))/52)</f>
        <v>0</v>
      </c>
      <c r="F172" s="224">
        <f>IF(E172=0,0,(Service_Numbers!O104/(VLOOKUP($G172,$B$7:$F$13,F$73,FALSE)))/52)</f>
        <v>0</v>
      </c>
      <c r="G172" s="112" t="str">
        <f>Service_Numbers!AA104</f>
        <v/>
      </c>
    </row>
    <row r="173" spans="1:7" ht="15" thickBot="1" x14ac:dyDescent="0.45">
      <c r="A173">
        <v>100</v>
      </c>
      <c r="B173" s="225">
        <f>'3. Intervention Details'!B105</f>
        <v>0</v>
      </c>
      <c r="C173" s="226">
        <f>IF(B173=0,0,(Service_Numbers!L105/(VLOOKUP($G173,$B$7:$F$13,C$73,FALSE)))/52)</f>
        <v>0</v>
      </c>
      <c r="D173" s="226">
        <f>IF(C173=0,0,(Service_Numbers!M105/(VLOOKUP($G173,$B$7:$F$13,D$73,FALSE)))/52)</f>
        <v>0</v>
      </c>
      <c r="E173" s="226">
        <f>IF(D173=0,0,(Service_Numbers!N105/(VLOOKUP($G173,$B$7:$F$13,E$73,FALSE)))/52)</f>
        <v>0</v>
      </c>
      <c r="F173" s="226">
        <f>IF(E173=0,0,(Service_Numbers!O105/(VLOOKUP($G173,$B$7:$F$13,F$73,FALSE)))/52)</f>
        <v>0</v>
      </c>
      <c r="G173" s="112" t="str">
        <f>Service_Numbers!AA105</f>
        <v/>
      </c>
    </row>
  </sheetData>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C000"/>
  </sheetPr>
  <dimension ref="A2:A51"/>
  <sheetViews>
    <sheetView topLeftCell="A28" workbookViewId="0">
      <selection activeCell="A3" sqref="A3"/>
    </sheetView>
  </sheetViews>
  <sheetFormatPr defaultColWidth="8.84375" defaultRowHeight="14.6" x14ac:dyDescent="0.4"/>
  <cols>
    <col min="1" max="1" width="54.4609375" customWidth="1"/>
  </cols>
  <sheetData>
    <row r="2" spans="1:1" x14ac:dyDescent="0.4">
      <c r="A2" s="2" t="s">
        <v>100</v>
      </c>
    </row>
    <row r="3" spans="1:1" x14ac:dyDescent="0.4">
      <c r="A3" t="s">
        <v>101</v>
      </c>
    </row>
    <row r="4" spans="1:1" x14ac:dyDescent="0.4">
      <c r="A4" t="s">
        <v>6</v>
      </c>
    </row>
    <row r="5" spans="1:1" x14ac:dyDescent="0.4">
      <c r="A5" t="s">
        <v>12</v>
      </c>
    </row>
    <row r="7" spans="1:1" x14ac:dyDescent="0.4">
      <c r="A7" s="2" t="s">
        <v>4</v>
      </c>
    </row>
    <row r="8" spans="1:1" x14ac:dyDescent="0.4">
      <c r="A8" t="s">
        <v>101</v>
      </c>
    </row>
    <row r="9" spans="1:1" x14ac:dyDescent="0.4">
      <c r="A9" t="s">
        <v>46</v>
      </c>
    </row>
    <row r="11" spans="1:1" x14ac:dyDescent="0.4">
      <c r="A11" s="2" t="s">
        <v>102</v>
      </c>
    </row>
    <row r="12" spans="1:1" x14ac:dyDescent="0.4">
      <c r="A12" t="s">
        <v>10</v>
      </c>
    </row>
    <row r="14" spans="1:1" x14ac:dyDescent="0.4">
      <c r="A14" s="2" t="s">
        <v>103</v>
      </c>
    </row>
    <row r="15" spans="1:1" x14ac:dyDescent="0.4">
      <c r="A15" t="s">
        <v>10</v>
      </c>
    </row>
    <row r="18" spans="1:1" x14ac:dyDescent="0.4">
      <c r="A18" s="2" t="s">
        <v>104</v>
      </c>
    </row>
    <row r="19" spans="1:1" x14ac:dyDescent="0.4">
      <c r="A19" t="s">
        <v>105</v>
      </c>
    </row>
    <row r="20" spans="1:1" x14ac:dyDescent="0.4">
      <c r="A20" t="s">
        <v>6</v>
      </c>
    </row>
    <row r="21" spans="1:1" x14ac:dyDescent="0.4">
      <c r="A21" t="s">
        <v>106</v>
      </c>
    </row>
    <row r="22" spans="1:1" x14ac:dyDescent="0.4">
      <c r="A22" t="s">
        <v>12</v>
      </c>
    </row>
    <row r="23" spans="1:1" x14ac:dyDescent="0.4">
      <c r="A23" s="323" t="s">
        <v>101</v>
      </c>
    </row>
    <row r="26" spans="1:1" x14ac:dyDescent="0.4">
      <c r="A26" s="2" t="s">
        <v>107</v>
      </c>
    </row>
    <row r="27" spans="1:1" x14ac:dyDescent="0.4">
      <c r="A27" t="str">
        <f>IF(_chw1&lt;&gt;"",_chw1,"")</f>
        <v/>
      </c>
    </row>
    <row r="28" spans="1:1" x14ac:dyDescent="0.4">
      <c r="A28" t="str">
        <f>IF(_chw2&lt;&gt;"",_chw2,"")</f>
        <v/>
      </c>
    </row>
    <row r="29" spans="1:1" x14ac:dyDescent="0.4">
      <c r="A29" t="str">
        <f>IF(_chw3&lt;&gt;"",_chw3,"")</f>
        <v/>
      </c>
    </row>
    <row r="30" spans="1:1" x14ac:dyDescent="0.4">
      <c r="A30" s="2" t="str">
        <f>IF(_chw4&lt;&gt;"",_chw4,"")</f>
        <v/>
      </c>
    </row>
    <row r="31" spans="1:1" x14ac:dyDescent="0.4">
      <c r="A31" t="str">
        <f>IF(_chw5&lt;&gt;"",_chw5,"")</f>
        <v/>
      </c>
    </row>
    <row r="32" spans="1:1" x14ac:dyDescent="0.4">
      <c r="A32" t="str">
        <f>IF(_chw6&lt;&gt;"",_chw6,"")</f>
        <v/>
      </c>
    </row>
    <row r="35" spans="1:1" x14ac:dyDescent="0.4">
      <c r="A35" s="2" t="s">
        <v>1031</v>
      </c>
    </row>
    <row r="36" spans="1:1" x14ac:dyDescent="0.4">
      <c r="A36">
        <f>'4. Policy Interactive Screen'!D3</f>
        <v>0</v>
      </c>
    </row>
    <row r="37" spans="1:1" x14ac:dyDescent="0.4">
      <c r="A37">
        <f>'4. Policy Interactive Screen'!G3</f>
        <v>0</v>
      </c>
    </row>
    <row r="38" spans="1:1" x14ac:dyDescent="0.4">
      <c r="A38">
        <f>'4. Policy Interactive Screen'!J3</f>
        <v>0</v>
      </c>
    </row>
    <row r="49" spans="1:1" x14ac:dyDescent="0.4">
      <c r="A49" s="324" t="s">
        <v>1049</v>
      </c>
    </row>
    <row r="50" spans="1:1" x14ac:dyDescent="0.4">
      <c r="A50" t="s">
        <v>1050</v>
      </c>
    </row>
    <row r="51" spans="1:1" x14ac:dyDescent="0.4">
      <c r="A51" t="s">
        <v>1054</v>
      </c>
    </row>
  </sheetData>
  <pageMargins left="0.7" right="0.7" top="0.75" bottom="0.75" header="0.3" footer="0.3"/>
  <pageSetup orientation="portrait" horizontalDpi="0" verticalDpi="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tabColor rgb="FF0070C0"/>
  </sheetPr>
  <dimension ref="A1:F23"/>
  <sheetViews>
    <sheetView showGridLines="0" zoomScale="90" zoomScaleNormal="90" workbookViewId="0">
      <selection activeCell="J18" sqref="J18"/>
    </sheetView>
  </sheetViews>
  <sheetFormatPr defaultColWidth="8.84375" defaultRowHeight="14.6" x14ac:dyDescent="0.4"/>
  <cols>
    <col min="1" max="1" width="4.3046875" customWidth="1"/>
    <col min="2" max="2" width="52" customWidth="1"/>
    <col min="3" max="6" width="13.69140625" customWidth="1"/>
  </cols>
  <sheetData>
    <row r="1" spans="1:6" ht="15" thickBot="1" x14ac:dyDescent="0.45">
      <c r="A1" s="1"/>
      <c r="B1" s="614" t="str">
        <f>IF(scaleup="N","Program Scale-up has not been selected.
No data entry required on this page.","")</f>
        <v>Program Scale-up has not been selected.
No data entry required on this page.</v>
      </c>
    </row>
    <row r="2" spans="1:6" ht="15" thickBot="1" x14ac:dyDescent="0.45">
      <c r="A2" s="4"/>
      <c r="B2" s="614"/>
      <c r="C2" s="5">
        <f>baseline_year</f>
        <v>0</v>
      </c>
      <c r="D2" s="6">
        <f>baseline_year+1</f>
        <v>1</v>
      </c>
      <c r="E2" s="6">
        <f t="shared" ref="E2:F2" si="0">D2+1</f>
        <v>2</v>
      </c>
      <c r="F2" s="6">
        <f t="shared" si="0"/>
        <v>3</v>
      </c>
    </row>
    <row r="3" spans="1:6" x14ac:dyDescent="0.4">
      <c r="C3" s="8"/>
      <c r="D3" s="9"/>
      <c r="E3" s="9"/>
      <c r="F3" s="9"/>
    </row>
    <row r="4" spans="1:6" x14ac:dyDescent="0.4">
      <c r="B4" s="10" t="s">
        <v>31</v>
      </c>
      <c r="C4" s="11"/>
      <c r="D4" s="11"/>
      <c r="E4" s="11"/>
      <c r="F4" s="11"/>
    </row>
    <row r="5" spans="1:6" x14ac:dyDescent="0.4">
      <c r="B5" s="12" t="str">
        <f>IF(subnational="Y","Total Population of "&amp;subnational_name,"Total Population of "&amp;selected_country)</f>
        <v xml:space="preserve">Total Population of </v>
      </c>
      <c r="C5" s="13">
        <v>8500000</v>
      </c>
      <c r="D5" s="14"/>
      <c r="E5" s="14"/>
      <c r="F5" s="14"/>
    </row>
    <row r="6" spans="1:6" x14ac:dyDescent="0.4">
      <c r="B6" s="12" t="str">
        <f>IF(subnational="Y","Total Urban Population of "&amp;subnational_name,"Total Urban Population of "&amp;selected_country)</f>
        <v xml:space="preserve">Total Urban Population of </v>
      </c>
      <c r="C6" s="15">
        <f>'parameters (do not delete)'!D15</f>
        <v>0</v>
      </c>
      <c r="D6" s="14"/>
      <c r="E6" s="14"/>
      <c r="F6" s="14"/>
    </row>
    <row r="7" spans="1:6" x14ac:dyDescent="0.4">
      <c r="B7" s="16" t="str">
        <f>IF(subnational="Y","Total Rural Population of "&amp;subnational_name,"Total Rural Population of "&amp;selected_country)</f>
        <v xml:space="preserve">Total Rural Population of </v>
      </c>
      <c r="C7" s="17">
        <f>'parameters (do not delete)'!D17</f>
        <v>0</v>
      </c>
      <c r="D7" s="14"/>
      <c r="E7" s="14"/>
      <c r="F7" s="14"/>
    </row>
    <row r="8" spans="1:6" s="18" customFormat="1" x14ac:dyDescent="0.4">
      <c r="B8" s="19" t="s">
        <v>32</v>
      </c>
      <c r="C8" s="20">
        <f>percent_urban</f>
        <v>0</v>
      </c>
      <c r="D8" s="21"/>
      <c r="E8" s="21"/>
      <c r="F8" s="21"/>
    </row>
    <row r="9" spans="1:6" s="18" customFormat="1" x14ac:dyDescent="0.4">
      <c r="B9" s="19" t="s">
        <v>33</v>
      </c>
      <c r="C9" s="22">
        <f>percent_rural</f>
        <v>0</v>
      </c>
      <c r="D9" s="23"/>
      <c r="E9" s="23"/>
      <c r="F9" s="23"/>
    </row>
    <row r="10" spans="1:6" s="18" customFormat="1" x14ac:dyDescent="0.4">
      <c r="B10" s="19" t="s">
        <v>34</v>
      </c>
      <c r="C10" s="22">
        <f>IF(C5=0,0,C13/C5)</f>
        <v>0</v>
      </c>
      <c r="D10" s="24">
        <f t="shared" ref="D10:F10" si="1">IF(D5=0,0,D13/D5)</f>
        <v>0</v>
      </c>
      <c r="E10" s="24">
        <f t="shared" si="1"/>
        <v>0</v>
      </c>
      <c r="F10" s="24">
        <f t="shared" si="1"/>
        <v>0</v>
      </c>
    </row>
    <row r="11" spans="1:6" s="18" customFormat="1" x14ac:dyDescent="0.4">
      <c r="B11" s="25" t="s">
        <v>35</v>
      </c>
      <c r="C11" s="26">
        <f>'parameters (do not delete)'!D19</f>
        <v>0</v>
      </c>
      <c r="D11" s="27">
        <f t="shared" ref="D11:F11" si="2">IF(scaleup="N",C11*(1+national_pop_growth),(D6*D8))</f>
        <v>0</v>
      </c>
      <c r="E11" s="27">
        <f t="shared" si="2"/>
        <v>0</v>
      </c>
      <c r="F11" s="27">
        <f t="shared" si="2"/>
        <v>0</v>
      </c>
    </row>
    <row r="12" spans="1:6" s="18" customFormat="1" x14ac:dyDescent="0.4">
      <c r="B12" s="19" t="s">
        <v>36</v>
      </c>
      <c r="C12" s="28">
        <f>'parameters (do not delete)'!D21</f>
        <v>0</v>
      </c>
      <c r="D12" s="29">
        <f t="shared" ref="D12:F12" si="3">IF(scaleup="N",C12*(1+national_pop_growth),(D7*D9))</f>
        <v>0</v>
      </c>
      <c r="E12" s="29">
        <f t="shared" si="3"/>
        <v>0</v>
      </c>
      <c r="F12" s="29">
        <f t="shared" si="3"/>
        <v>0</v>
      </c>
    </row>
    <row r="13" spans="1:6" s="18" customFormat="1" x14ac:dyDescent="0.4">
      <c r="B13" s="30" t="s">
        <v>37</v>
      </c>
      <c r="C13" s="31">
        <f>SUM(C11:C12)</f>
        <v>0</v>
      </c>
      <c r="D13" s="32">
        <f t="shared" ref="D13:F13" si="4">SUM(D11:D12)</f>
        <v>0</v>
      </c>
      <c r="E13" s="32">
        <f t="shared" si="4"/>
        <v>0</v>
      </c>
      <c r="F13" s="32">
        <f t="shared" si="4"/>
        <v>0</v>
      </c>
    </row>
    <row r="15" spans="1:6" x14ac:dyDescent="0.4">
      <c r="B15" s="37" t="str">
        <f>IF(subnational="Y","Total Population of "&amp;subnational_name,"Total Population of "&amp;selected_country)</f>
        <v xml:space="preserve">Total Population of </v>
      </c>
      <c r="C15" s="13">
        <v>8500000</v>
      </c>
      <c r="D15" s="38">
        <f t="shared" ref="D15:F15" si="5">IF(scaleup="Y",D5,C15*(1+national_pop_growth))</f>
        <v>8500000</v>
      </c>
      <c r="E15" s="38">
        <f t="shared" si="5"/>
        <v>8500000</v>
      </c>
      <c r="F15" s="38">
        <f t="shared" si="5"/>
        <v>8500000</v>
      </c>
    </row>
    <row r="16" spans="1:6" x14ac:dyDescent="0.4">
      <c r="B16" s="12" t="str">
        <f>IF(subnational="Y","Total Urban Population of "&amp;subnational_name,"Total Urban Population of "&amp;selected_country)</f>
        <v xml:space="preserve">Total Urban Population of </v>
      </c>
      <c r="C16" s="15">
        <f>IF(urban_rural_scenario=2,0,C6)</f>
        <v>0</v>
      </c>
      <c r="D16" s="39">
        <f t="shared" ref="D16:F16" si="6">IF(scaleup="Y",D6,(C16*(1+national_pop_growth)))</f>
        <v>0</v>
      </c>
      <c r="E16" s="39">
        <f t="shared" si="6"/>
        <v>0</v>
      </c>
      <c r="F16" s="39">
        <f t="shared" si="6"/>
        <v>0</v>
      </c>
    </row>
    <row r="17" spans="2:6" x14ac:dyDescent="0.4">
      <c r="B17" s="16" t="str">
        <f>IF(subnational="Y","Total Rural Population of "&amp;subnational_name,"Total Rural Population of "&amp;selected_country)</f>
        <v xml:space="preserve">Total Rural Population of </v>
      </c>
      <c r="C17" s="17">
        <f>IF(urban_rural_scenario=1,0,C7)</f>
        <v>0</v>
      </c>
      <c r="D17" s="40">
        <f t="shared" ref="D17:F17" si="7">IF(scaleup="Y",D7,(C17*(1+national_pop_growth)))</f>
        <v>0</v>
      </c>
      <c r="E17" s="40">
        <f t="shared" si="7"/>
        <v>0</v>
      </c>
      <c r="F17" s="40">
        <f t="shared" si="7"/>
        <v>0</v>
      </c>
    </row>
    <row r="18" spans="2:6" x14ac:dyDescent="0.4">
      <c r="B18" s="19" t="s">
        <v>38</v>
      </c>
      <c r="C18" s="22">
        <f>IF(urban_rural="Y",((C12+C11)/C15),community_target_pop)</f>
        <v>0</v>
      </c>
      <c r="D18" s="41">
        <f>IF(D15=0,0,D19/D15)</f>
        <v>0</v>
      </c>
      <c r="E18" s="42">
        <f t="shared" ref="E18:F18" si="8">IF(E15=0,0,E19/E15)</f>
        <v>0</v>
      </c>
      <c r="F18" s="42">
        <f t="shared" si="8"/>
        <v>0</v>
      </c>
    </row>
    <row r="19" spans="2:6" x14ac:dyDescent="0.4">
      <c r="B19" s="30" t="s">
        <v>37</v>
      </c>
      <c r="C19" s="31">
        <f>C13</f>
        <v>0</v>
      </c>
      <c r="D19" s="43">
        <f>D21+D23</f>
        <v>0</v>
      </c>
      <c r="E19" s="43">
        <f t="shared" ref="E19:F19" si="9">E21+E23</f>
        <v>0</v>
      </c>
      <c r="F19" s="43">
        <f t="shared" si="9"/>
        <v>0</v>
      </c>
    </row>
    <row r="20" spans="2:6" x14ac:dyDescent="0.4">
      <c r="B20" s="19" t="s">
        <v>32</v>
      </c>
      <c r="C20" s="44">
        <f>C8</f>
        <v>0</v>
      </c>
      <c r="D20" s="42">
        <f t="shared" ref="D20:F20" si="10">IF(scaleup="Y",D8,IF(scaleup="N",$C$8,0))</f>
        <v>0</v>
      </c>
      <c r="E20" s="42">
        <f t="shared" si="10"/>
        <v>0</v>
      </c>
      <c r="F20" s="42">
        <f t="shared" si="10"/>
        <v>0</v>
      </c>
    </row>
    <row r="21" spans="2:6" x14ac:dyDescent="0.4">
      <c r="B21" s="19" t="s">
        <v>35</v>
      </c>
      <c r="C21" s="28">
        <f t="shared" ref="C21:F21" si="11">C11</f>
        <v>0</v>
      </c>
      <c r="D21" s="45">
        <f t="shared" si="11"/>
        <v>0</v>
      </c>
      <c r="E21" s="45">
        <f t="shared" si="11"/>
        <v>0</v>
      </c>
      <c r="F21" s="45">
        <f t="shared" si="11"/>
        <v>0</v>
      </c>
    </row>
    <row r="22" spans="2:6" x14ac:dyDescent="0.4">
      <c r="B22" s="19" t="s">
        <v>33</v>
      </c>
      <c r="C22" s="22">
        <f>C9</f>
        <v>0</v>
      </c>
      <c r="D22" s="42">
        <f t="shared" ref="D22:F22" si="12">IF(scaleup="Y",D9,IF(scaleup="N",$C$9,0))</f>
        <v>0</v>
      </c>
      <c r="E22" s="42">
        <f t="shared" si="12"/>
        <v>0</v>
      </c>
      <c r="F22" s="42">
        <f t="shared" si="12"/>
        <v>0</v>
      </c>
    </row>
    <row r="23" spans="2:6" x14ac:dyDescent="0.4">
      <c r="B23" s="30" t="s">
        <v>36</v>
      </c>
      <c r="C23" s="31">
        <f t="shared" ref="C23:F23" si="13">C12</f>
        <v>0</v>
      </c>
      <c r="D23" s="32">
        <f t="shared" si="13"/>
        <v>0</v>
      </c>
      <c r="E23" s="46">
        <f t="shared" si="13"/>
        <v>0</v>
      </c>
      <c r="F23" s="46">
        <f t="shared" si="13"/>
        <v>0</v>
      </c>
    </row>
  </sheetData>
  <sheetProtection selectLockedCells="1"/>
  <mergeCells count="1">
    <mergeCell ref="B1:B2"/>
  </mergeCells>
  <conditionalFormatting sqref="D8:F9">
    <cfRule type="expression" dxfId="9" priority="9">
      <formula>scaleup="N"</formula>
    </cfRule>
  </conditionalFormatting>
  <conditionalFormatting sqref="D5:F7">
    <cfRule type="expression" dxfId="8" priority="7">
      <formula>scaleup="N"</formula>
    </cfRule>
  </conditionalFormatting>
  <conditionalFormatting sqref="D8:F8">
    <cfRule type="expression" dxfId="7" priority="6">
      <formula>urban_rural_scenario=2</formula>
    </cfRule>
  </conditionalFormatting>
  <conditionalFormatting sqref="D9:F9">
    <cfRule type="expression" dxfId="6" priority="5">
      <formula>urban_rural_scenario=1</formula>
    </cfRule>
  </conditionalFormatting>
  <pageMargins left="0.7" right="0.7" top="0.75" bottom="0.75" header="0.3" footer="0.3"/>
  <pageSetup orientation="portrait"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81">
    <tabColor rgb="FF0070C0"/>
  </sheetPr>
  <dimension ref="A1:R115"/>
  <sheetViews>
    <sheetView showGridLines="0" zoomScale="90" zoomScaleNormal="90" workbookViewId="0">
      <selection activeCell="F6" sqref="F6"/>
    </sheetView>
  </sheetViews>
  <sheetFormatPr defaultColWidth="8.84375" defaultRowHeight="14.6" x14ac:dyDescent="0.4"/>
  <cols>
    <col min="1" max="1" width="5.84375" customWidth="1"/>
    <col min="2" max="2" width="26.3046875" style="99" customWidth="1"/>
    <col min="3" max="4" width="20.3046875" customWidth="1"/>
    <col min="5" max="5" width="17.3046875" style="18" customWidth="1"/>
    <col min="6" max="6" width="18.84375" style="18" customWidth="1"/>
    <col min="7" max="7" width="13.3046875" customWidth="1"/>
    <col min="8" max="8" width="6.07421875" style="18" customWidth="1"/>
    <col min="19" max="29" width="8.69140625" customWidth="1"/>
  </cols>
  <sheetData>
    <row r="1" spans="1:18" s="323" customFormat="1" x14ac:dyDescent="0.4">
      <c r="B1" s="322"/>
      <c r="E1" s="18"/>
      <c r="F1" s="18"/>
      <c r="H1" s="18"/>
    </row>
    <row r="2" spans="1:18" ht="15" thickBot="1" x14ac:dyDescent="0.45">
      <c r="A2" s="1"/>
      <c r="B2" s="101"/>
    </row>
    <row r="3" spans="1:18" ht="15" thickBot="1" x14ac:dyDescent="0.45">
      <c r="A3" s="1"/>
      <c r="E3" s="615" t="s">
        <v>72</v>
      </c>
      <c r="F3" s="616"/>
      <c r="G3" s="617"/>
      <c r="I3" s="618" t="s">
        <v>73</v>
      </c>
      <c r="J3" s="619"/>
      <c r="K3" s="619"/>
      <c r="L3" s="619"/>
      <c r="M3" s="619"/>
      <c r="N3" s="619"/>
      <c r="O3" s="619"/>
      <c r="P3" s="619"/>
      <c r="Q3" s="619"/>
      <c r="R3" s="620"/>
    </row>
    <row r="4" spans="1:18" ht="43.4" customHeight="1" thickBot="1" x14ac:dyDescent="0.45">
      <c r="B4" s="102" t="s">
        <v>74</v>
      </c>
      <c r="C4" s="103" t="s">
        <v>43</v>
      </c>
      <c r="D4" s="103" t="s">
        <v>75</v>
      </c>
      <c r="E4" s="104" t="str">
        <f>"Actual number of services "&amp;baseline_year</f>
        <v xml:space="preserve">Actual number of services </v>
      </c>
      <c r="F4" s="104" t="str">
        <f>"Expected number of needed services "&amp;baseline_year</f>
        <v xml:space="preserve">Expected number of needed services </v>
      </c>
      <c r="G4" s="105" t="str">
        <f>"Coverage in "&amp;baseline_year</f>
        <v xml:space="preserve">Coverage in </v>
      </c>
      <c r="H4" s="106"/>
      <c r="I4" s="107">
        <f>baseline_year+1</f>
        <v>1</v>
      </c>
      <c r="J4" s="6">
        <f t="shared" ref="J4:R4" si="0">I4+1</f>
        <v>2</v>
      </c>
      <c r="K4" s="6">
        <f t="shared" si="0"/>
        <v>3</v>
      </c>
      <c r="L4" s="6">
        <f t="shared" si="0"/>
        <v>4</v>
      </c>
      <c r="M4" s="6">
        <f t="shared" si="0"/>
        <v>5</v>
      </c>
      <c r="N4" s="6">
        <f t="shared" si="0"/>
        <v>6</v>
      </c>
      <c r="O4" s="6">
        <f t="shared" si="0"/>
        <v>7</v>
      </c>
      <c r="P4" s="6">
        <f t="shared" si="0"/>
        <v>8</v>
      </c>
      <c r="Q4" s="6">
        <f t="shared" si="0"/>
        <v>9</v>
      </c>
      <c r="R4" s="7">
        <f t="shared" si="0"/>
        <v>10</v>
      </c>
    </row>
    <row r="5" spans="1:18" x14ac:dyDescent="0.4">
      <c r="B5" s="108"/>
      <c r="C5" s="109"/>
      <c r="D5" s="109"/>
      <c r="E5" s="110"/>
      <c r="F5" s="110"/>
      <c r="G5" s="9"/>
      <c r="I5" s="111"/>
      <c r="J5" s="111"/>
      <c r="K5" s="111"/>
      <c r="L5" s="111"/>
      <c r="M5" s="111"/>
      <c r="N5" s="111"/>
      <c r="O5" s="111"/>
      <c r="P5" s="111"/>
      <c r="Q5" s="111"/>
      <c r="R5" s="111"/>
    </row>
    <row r="6" spans="1:18" x14ac:dyDescent="0.4">
      <c r="A6" s="113">
        <v>1</v>
      </c>
      <c r="B6" s="114" t="str">
        <f>IF('3. Intervention Details'!B6="","",'3. Intervention Details'!B6)</f>
        <v/>
      </c>
      <c r="C6" s="115">
        <f>IF('3. Intervention Details'!F6="",0,'3. Intervention Details'!F6)</f>
        <v>0</v>
      </c>
      <c r="D6" s="115">
        <f t="shared" ref="D6:D37" si="1">IF(B6="",0,VLOOKUP(B6,lookup_masterlist,3,FALSE))</f>
        <v>0</v>
      </c>
      <c r="E6" s="116"/>
      <c r="F6" s="117">
        <f t="shared" ref="F6:F37" si="2">IF(B6="",0,IF(C6="Urban",(VLOOKUP(D6,lookup_urban,2,FALSE)*VLOOKUP(B6,lookup_masterlist,6,FALSE)),IF(C6="Rural",VLOOKUP(D6,lookup_rural,2,FALSE)*VLOOKUP(B6,lookup_masterlist,6,FALSE),VLOOKUP(D6,lookup_demography,2,FALSE)*VLOOKUP(B6,lookup_masterlist,6,FALSE))))</f>
        <v>0</v>
      </c>
      <c r="G6" s="118">
        <f>'4. Policy Interactive Screen'!D15/100</f>
        <v>0</v>
      </c>
      <c r="H6" s="119"/>
      <c r="I6" s="313">
        <f>'4. Policy Interactive Screen'!G15/100</f>
        <v>0</v>
      </c>
      <c r="J6" s="326">
        <f>'4. Policy Interactive Screen'!J15/100</f>
        <v>0</v>
      </c>
      <c r="K6" s="326">
        <f>'4. Policy Interactive Screen'!M15/100</f>
        <v>0</v>
      </c>
      <c r="L6" s="312">
        <f t="shared" ref="L6:Q15" si="3">$G6+(L$4-baseline_year)*($R6-$G6)/($R$4-baseline_year)</f>
        <v>0.4</v>
      </c>
      <c r="M6" s="312">
        <f t="shared" si="3"/>
        <v>0.5</v>
      </c>
      <c r="N6" s="312">
        <f t="shared" si="3"/>
        <v>0.6</v>
      </c>
      <c r="O6" s="312">
        <f t="shared" si="3"/>
        <v>0.7</v>
      </c>
      <c r="P6" s="312">
        <f t="shared" si="3"/>
        <v>0.8</v>
      </c>
      <c r="Q6" s="312">
        <f t="shared" si="3"/>
        <v>0.9</v>
      </c>
      <c r="R6" s="118">
        <v>1</v>
      </c>
    </row>
    <row r="7" spans="1:18" x14ac:dyDescent="0.4">
      <c r="A7" s="113">
        <v>2</v>
      </c>
      <c r="B7" s="114" t="str">
        <f>IF('3. Intervention Details'!B7="","",'3. Intervention Details'!B7)</f>
        <v/>
      </c>
      <c r="C7" s="115">
        <f>IF('3. Intervention Details'!F7="",0,'3. Intervention Details'!F7)</f>
        <v>0</v>
      </c>
      <c r="D7" s="109">
        <f t="shared" si="1"/>
        <v>0</v>
      </c>
      <c r="E7" s="122"/>
      <c r="F7" s="123">
        <f t="shared" si="2"/>
        <v>0</v>
      </c>
      <c r="G7" s="118">
        <f>'4. Policy Interactive Screen'!D16/100</f>
        <v>0</v>
      </c>
      <c r="H7" s="119"/>
      <c r="I7" s="313">
        <f>'4. Policy Interactive Screen'!G16/100</f>
        <v>0</v>
      </c>
      <c r="J7" s="326">
        <f>'4. Policy Interactive Screen'!J16/100</f>
        <v>0</v>
      </c>
      <c r="K7" s="326">
        <f>'4. Policy Interactive Screen'!M16/100</f>
        <v>0</v>
      </c>
      <c r="L7" s="314">
        <f t="shared" si="3"/>
        <v>0.4</v>
      </c>
      <c r="M7" s="314">
        <f t="shared" si="3"/>
        <v>0.5</v>
      </c>
      <c r="N7" s="314">
        <f t="shared" si="3"/>
        <v>0.6</v>
      </c>
      <c r="O7" s="314">
        <f t="shared" si="3"/>
        <v>0.7</v>
      </c>
      <c r="P7" s="314">
        <f t="shared" si="3"/>
        <v>0.8</v>
      </c>
      <c r="Q7" s="314">
        <f t="shared" si="3"/>
        <v>0.9</v>
      </c>
      <c r="R7" s="124">
        <v>1</v>
      </c>
    </row>
    <row r="8" spans="1:18" x14ac:dyDescent="0.4">
      <c r="A8" s="113">
        <v>3</v>
      </c>
      <c r="B8" s="121" t="str">
        <f>IF('3. Intervention Details'!B8="","",'3. Intervention Details'!B8)</f>
        <v/>
      </c>
      <c r="C8" s="109">
        <f>IF('3. Intervention Details'!F8="",0,'3. Intervention Details'!F8)</f>
        <v>0</v>
      </c>
      <c r="D8" s="109">
        <f t="shared" si="1"/>
        <v>0</v>
      </c>
      <c r="E8" s="122"/>
      <c r="F8" s="123">
        <f t="shared" si="2"/>
        <v>0</v>
      </c>
      <c r="G8" s="118">
        <f>'4. Policy Interactive Screen'!D17/100</f>
        <v>0</v>
      </c>
      <c r="H8" s="119"/>
      <c r="I8" s="313">
        <f>'4. Policy Interactive Screen'!G17/100</f>
        <v>0</v>
      </c>
      <c r="J8" s="326">
        <f>'4. Policy Interactive Screen'!J17/100</f>
        <v>0</v>
      </c>
      <c r="K8" s="326">
        <f>'4. Policy Interactive Screen'!M17/100</f>
        <v>0</v>
      </c>
      <c r="L8" s="314">
        <f t="shared" si="3"/>
        <v>0.4</v>
      </c>
      <c r="M8" s="314">
        <f t="shared" si="3"/>
        <v>0.5</v>
      </c>
      <c r="N8" s="314">
        <f t="shared" si="3"/>
        <v>0.6</v>
      </c>
      <c r="O8" s="314">
        <f t="shared" si="3"/>
        <v>0.7</v>
      </c>
      <c r="P8" s="314">
        <f t="shared" si="3"/>
        <v>0.8</v>
      </c>
      <c r="Q8" s="314">
        <f t="shared" si="3"/>
        <v>0.9</v>
      </c>
      <c r="R8" s="124">
        <v>1</v>
      </c>
    </row>
    <row r="9" spans="1:18" x14ac:dyDescent="0.4">
      <c r="A9" s="113">
        <v>4</v>
      </c>
      <c r="B9" s="121" t="str">
        <f>IF('3. Intervention Details'!B9="","",'3. Intervention Details'!B9)</f>
        <v/>
      </c>
      <c r="C9" s="109">
        <f>IF('3. Intervention Details'!F9="",0,'3. Intervention Details'!F9)</f>
        <v>0</v>
      </c>
      <c r="D9" s="109">
        <f t="shared" si="1"/>
        <v>0</v>
      </c>
      <c r="E9" s="122"/>
      <c r="F9" s="123">
        <f t="shared" si="2"/>
        <v>0</v>
      </c>
      <c r="G9" s="118">
        <f>'4. Policy Interactive Screen'!D18/100</f>
        <v>0</v>
      </c>
      <c r="H9" s="119"/>
      <c r="I9" s="313">
        <f>'4. Policy Interactive Screen'!G18/100</f>
        <v>0</v>
      </c>
      <c r="J9" s="326">
        <f>'4. Policy Interactive Screen'!J18/100</f>
        <v>0</v>
      </c>
      <c r="K9" s="326">
        <f>'4. Policy Interactive Screen'!M18/100</f>
        <v>0</v>
      </c>
      <c r="L9" s="314">
        <f t="shared" si="3"/>
        <v>0.4</v>
      </c>
      <c r="M9" s="314">
        <f t="shared" si="3"/>
        <v>0.5</v>
      </c>
      <c r="N9" s="314">
        <f t="shared" si="3"/>
        <v>0.6</v>
      </c>
      <c r="O9" s="314">
        <f t="shared" si="3"/>
        <v>0.7</v>
      </c>
      <c r="P9" s="314">
        <f t="shared" si="3"/>
        <v>0.8</v>
      </c>
      <c r="Q9" s="314">
        <f t="shared" si="3"/>
        <v>0.9</v>
      </c>
      <c r="R9" s="124">
        <v>1</v>
      </c>
    </row>
    <row r="10" spans="1:18" x14ac:dyDescent="0.4">
      <c r="A10" s="113">
        <v>5</v>
      </c>
      <c r="B10" s="121" t="str">
        <f>IF('3. Intervention Details'!B10="","",'3. Intervention Details'!B10)</f>
        <v/>
      </c>
      <c r="C10" s="109">
        <f>IF('3. Intervention Details'!F10="",0,'3. Intervention Details'!F10)</f>
        <v>0</v>
      </c>
      <c r="D10" s="109">
        <f t="shared" si="1"/>
        <v>0</v>
      </c>
      <c r="E10" s="122"/>
      <c r="F10" s="123">
        <f>IF(B10="",0,IF(C10="Urban",(VLOOKUP(D10,lookup_urban,2,FALSE)*VLOOKUP(B10,lookup_masterlist,6,FALSE)),IF(C10="Rural",VLOOKUP(D10,lookup_rural,2,FALSE)*VLOOKUP(B10,lookup_masterlist,6,FALSE),VLOOKUP(D10,lookup_demography,2,FALSE)*VLOOKUP(B10,lookup_masterlist,6,FALSE))))</f>
        <v>0</v>
      </c>
      <c r="G10" s="118">
        <f>'4. Policy Interactive Screen'!D19/100</f>
        <v>0</v>
      </c>
      <c r="H10" s="119"/>
      <c r="I10" s="313">
        <f>'4. Policy Interactive Screen'!G19/100</f>
        <v>0</v>
      </c>
      <c r="J10" s="326">
        <f>'4. Policy Interactive Screen'!J19/100</f>
        <v>0</v>
      </c>
      <c r="K10" s="326">
        <f>'4. Policy Interactive Screen'!M19/100</f>
        <v>0</v>
      </c>
      <c r="L10" s="314">
        <f t="shared" si="3"/>
        <v>0.4</v>
      </c>
      <c r="M10" s="314">
        <f t="shared" si="3"/>
        <v>0.5</v>
      </c>
      <c r="N10" s="314">
        <f t="shared" si="3"/>
        <v>0.6</v>
      </c>
      <c r="O10" s="314">
        <f t="shared" si="3"/>
        <v>0.7</v>
      </c>
      <c r="P10" s="314">
        <f t="shared" si="3"/>
        <v>0.8</v>
      </c>
      <c r="Q10" s="314">
        <f t="shared" si="3"/>
        <v>0.9</v>
      </c>
      <c r="R10" s="124">
        <v>1</v>
      </c>
    </row>
    <row r="11" spans="1:18" x14ac:dyDescent="0.4">
      <c r="A11" s="113">
        <v>6</v>
      </c>
      <c r="B11" s="121" t="str">
        <f>IF('3. Intervention Details'!B11="","",'3. Intervention Details'!B11)</f>
        <v/>
      </c>
      <c r="C11" s="109">
        <f>IF('3. Intervention Details'!F11="",0,'3. Intervention Details'!F11)</f>
        <v>0</v>
      </c>
      <c r="D11" s="109">
        <f t="shared" si="1"/>
        <v>0</v>
      </c>
      <c r="E11" s="122"/>
      <c r="F11" s="123">
        <f t="shared" si="2"/>
        <v>0</v>
      </c>
      <c r="G11" s="118">
        <f>'4. Policy Interactive Screen'!D20/100</f>
        <v>0</v>
      </c>
      <c r="H11" s="119"/>
      <c r="I11" s="313">
        <f>'4. Policy Interactive Screen'!G20/100</f>
        <v>0</v>
      </c>
      <c r="J11" s="326">
        <f>'4. Policy Interactive Screen'!J20/100</f>
        <v>0</v>
      </c>
      <c r="K11" s="326">
        <f>'4. Policy Interactive Screen'!M20/100</f>
        <v>0</v>
      </c>
      <c r="L11" s="314">
        <f t="shared" si="3"/>
        <v>0.4</v>
      </c>
      <c r="M11" s="314">
        <f t="shared" si="3"/>
        <v>0.5</v>
      </c>
      <c r="N11" s="314">
        <f t="shared" si="3"/>
        <v>0.6</v>
      </c>
      <c r="O11" s="314">
        <f t="shared" si="3"/>
        <v>0.7</v>
      </c>
      <c r="P11" s="314">
        <f t="shared" si="3"/>
        <v>0.8</v>
      </c>
      <c r="Q11" s="314">
        <f t="shared" si="3"/>
        <v>0.9</v>
      </c>
      <c r="R11" s="124">
        <v>1</v>
      </c>
    </row>
    <row r="12" spans="1:18" x14ac:dyDescent="0.4">
      <c r="A12" s="113">
        <v>7</v>
      </c>
      <c r="B12" s="121" t="str">
        <f>IF('3. Intervention Details'!B12="","",'3. Intervention Details'!B12)</f>
        <v/>
      </c>
      <c r="C12" s="109">
        <f>IF('3. Intervention Details'!F12="",0,'3. Intervention Details'!F12)</f>
        <v>0</v>
      </c>
      <c r="D12" s="109">
        <f t="shared" si="1"/>
        <v>0</v>
      </c>
      <c r="E12" s="122"/>
      <c r="F12" s="123">
        <f t="shared" si="2"/>
        <v>0</v>
      </c>
      <c r="G12" s="118">
        <f>'4. Policy Interactive Screen'!D21/100</f>
        <v>0</v>
      </c>
      <c r="H12" s="119"/>
      <c r="I12" s="313">
        <f>'4. Policy Interactive Screen'!G21/100</f>
        <v>0</v>
      </c>
      <c r="J12" s="326">
        <f>'4. Policy Interactive Screen'!J21/100</f>
        <v>0</v>
      </c>
      <c r="K12" s="326">
        <f>'4. Policy Interactive Screen'!M21/100</f>
        <v>0</v>
      </c>
      <c r="L12" s="314">
        <f t="shared" si="3"/>
        <v>0.4</v>
      </c>
      <c r="M12" s="314">
        <f t="shared" si="3"/>
        <v>0.5</v>
      </c>
      <c r="N12" s="314">
        <f t="shared" si="3"/>
        <v>0.6</v>
      </c>
      <c r="O12" s="314">
        <f t="shared" si="3"/>
        <v>0.7</v>
      </c>
      <c r="P12" s="314">
        <f t="shared" si="3"/>
        <v>0.8</v>
      </c>
      <c r="Q12" s="314">
        <f t="shared" si="3"/>
        <v>0.9</v>
      </c>
      <c r="R12" s="124">
        <v>1</v>
      </c>
    </row>
    <row r="13" spans="1:18" x14ac:dyDescent="0.4">
      <c r="A13" s="113">
        <v>8</v>
      </c>
      <c r="B13" s="121" t="str">
        <f>IF('3. Intervention Details'!B13="","",'3. Intervention Details'!B13)</f>
        <v/>
      </c>
      <c r="C13" s="109">
        <f>IF('3. Intervention Details'!F13="",0,'3. Intervention Details'!F13)</f>
        <v>0</v>
      </c>
      <c r="D13" s="109">
        <f t="shared" si="1"/>
        <v>0</v>
      </c>
      <c r="E13" s="122"/>
      <c r="F13" s="123">
        <f t="shared" si="2"/>
        <v>0</v>
      </c>
      <c r="G13" s="118">
        <f>'4. Policy Interactive Screen'!D22/100</f>
        <v>0</v>
      </c>
      <c r="H13" s="119"/>
      <c r="I13" s="313">
        <f>'4. Policy Interactive Screen'!G22/100</f>
        <v>0</v>
      </c>
      <c r="J13" s="326">
        <f>'4. Policy Interactive Screen'!J22/100</f>
        <v>0</v>
      </c>
      <c r="K13" s="326">
        <f>'4. Policy Interactive Screen'!M22/100</f>
        <v>0</v>
      </c>
      <c r="L13" s="314">
        <f t="shared" si="3"/>
        <v>0.4</v>
      </c>
      <c r="M13" s="314">
        <f t="shared" si="3"/>
        <v>0.5</v>
      </c>
      <c r="N13" s="314">
        <f t="shared" si="3"/>
        <v>0.6</v>
      </c>
      <c r="O13" s="314">
        <f t="shared" si="3"/>
        <v>0.7</v>
      </c>
      <c r="P13" s="314">
        <f t="shared" si="3"/>
        <v>0.8</v>
      </c>
      <c r="Q13" s="314">
        <f t="shared" si="3"/>
        <v>0.9</v>
      </c>
      <c r="R13" s="124">
        <v>1</v>
      </c>
    </row>
    <row r="14" spans="1:18" x14ac:dyDescent="0.4">
      <c r="A14" s="113">
        <v>9</v>
      </c>
      <c r="B14" s="121" t="str">
        <f>IF('3. Intervention Details'!B14="","",'3. Intervention Details'!B14)</f>
        <v/>
      </c>
      <c r="C14" s="109">
        <f>IF('3. Intervention Details'!F14="",0,'3. Intervention Details'!F14)</f>
        <v>0</v>
      </c>
      <c r="D14" s="109">
        <f t="shared" si="1"/>
        <v>0</v>
      </c>
      <c r="E14" s="122"/>
      <c r="F14" s="123">
        <f t="shared" si="2"/>
        <v>0</v>
      </c>
      <c r="G14" s="118">
        <f>'4. Policy Interactive Screen'!D23/100</f>
        <v>0</v>
      </c>
      <c r="H14" s="119"/>
      <c r="I14" s="313">
        <f>'4. Policy Interactive Screen'!G23/100</f>
        <v>0</v>
      </c>
      <c r="J14" s="326">
        <f>'4. Policy Interactive Screen'!J23/100</f>
        <v>0</v>
      </c>
      <c r="K14" s="326">
        <f>'4. Policy Interactive Screen'!M23/100</f>
        <v>0</v>
      </c>
      <c r="L14" s="314">
        <f t="shared" si="3"/>
        <v>0.4</v>
      </c>
      <c r="M14" s="314">
        <f t="shared" si="3"/>
        <v>0.5</v>
      </c>
      <c r="N14" s="314">
        <f t="shared" si="3"/>
        <v>0.6</v>
      </c>
      <c r="O14" s="314">
        <f t="shared" si="3"/>
        <v>0.7</v>
      </c>
      <c r="P14" s="314">
        <f t="shared" si="3"/>
        <v>0.8</v>
      </c>
      <c r="Q14" s="314">
        <f t="shared" si="3"/>
        <v>0.9</v>
      </c>
      <c r="R14" s="124">
        <v>1</v>
      </c>
    </row>
    <row r="15" spans="1:18" x14ac:dyDescent="0.4">
      <c r="A15" s="113">
        <v>10</v>
      </c>
      <c r="B15" s="121" t="str">
        <f>IF('3. Intervention Details'!B15="","",'3. Intervention Details'!B15)</f>
        <v/>
      </c>
      <c r="C15" s="109">
        <f>IF('3. Intervention Details'!F15="",0,'3. Intervention Details'!F15)</f>
        <v>0</v>
      </c>
      <c r="D15" s="109">
        <f t="shared" si="1"/>
        <v>0</v>
      </c>
      <c r="E15" s="122"/>
      <c r="F15" s="123">
        <f t="shared" si="2"/>
        <v>0</v>
      </c>
      <c r="G15" s="118">
        <f>'4. Policy Interactive Screen'!D24/100</f>
        <v>0</v>
      </c>
      <c r="H15" s="119"/>
      <c r="I15" s="313">
        <f>'4. Policy Interactive Screen'!G24/100</f>
        <v>0</v>
      </c>
      <c r="J15" s="326">
        <f>'4. Policy Interactive Screen'!J24/100</f>
        <v>0</v>
      </c>
      <c r="K15" s="326">
        <f>'4. Policy Interactive Screen'!M24/100</f>
        <v>0</v>
      </c>
      <c r="L15" s="314">
        <f t="shared" si="3"/>
        <v>0.4</v>
      </c>
      <c r="M15" s="314">
        <f t="shared" si="3"/>
        <v>0.5</v>
      </c>
      <c r="N15" s="314">
        <f t="shared" si="3"/>
        <v>0.6</v>
      </c>
      <c r="O15" s="314">
        <f t="shared" si="3"/>
        <v>0.7</v>
      </c>
      <c r="P15" s="314">
        <f t="shared" si="3"/>
        <v>0.8</v>
      </c>
      <c r="Q15" s="314">
        <f t="shared" si="3"/>
        <v>0.9</v>
      </c>
      <c r="R15" s="124">
        <v>1</v>
      </c>
    </row>
    <row r="16" spans="1:18" x14ac:dyDescent="0.4">
      <c r="A16" s="113">
        <v>11</v>
      </c>
      <c r="B16" s="121" t="str">
        <f>IF('3. Intervention Details'!B16="","",'3. Intervention Details'!B16)</f>
        <v/>
      </c>
      <c r="C16" s="109">
        <f>IF('3. Intervention Details'!F16="",0,'3. Intervention Details'!F16)</f>
        <v>0</v>
      </c>
      <c r="D16" s="109">
        <f t="shared" si="1"/>
        <v>0</v>
      </c>
      <c r="E16" s="122"/>
      <c r="F16" s="123">
        <f t="shared" si="2"/>
        <v>0</v>
      </c>
      <c r="G16" s="118">
        <f>'4. Policy Interactive Screen'!D25/100</f>
        <v>0</v>
      </c>
      <c r="H16" s="119"/>
      <c r="I16" s="313">
        <f>'4. Policy Interactive Screen'!G25/100</f>
        <v>0</v>
      </c>
      <c r="J16" s="326">
        <f>'4. Policy Interactive Screen'!J25/100</f>
        <v>0</v>
      </c>
      <c r="K16" s="326">
        <f>'4. Policy Interactive Screen'!M25/100</f>
        <v>0</v>
      </c>
      <c r="L16" s="314">
        <f t="shared" ref="L16:Q25" si="4">$G16+(L$4-baseline_year)*($R16-$G16)/($R$4-baseline_year)</f>
        <v>0.4</v>
      </c>
      <c r="M16" s="314">
        <f t="shared" si="4"/>
        <v>0.5</v>
      </c>
      <c r="N16" s="314">
        <f t="shared" si="4"/>
        <v>0.6</v>
      </c>
      <c r="O16" s="314">
        <f t="shared" si="4"/>
        <v>0.7</v>
      </c>
      <c r="P16" s="314">
        <f t="shared" si="4"/>
        <v>0.8</v>
      </c>
      <c r="Q16" s="314">
        <f t="shared" si="4"/>
        <v>0.9</v>
      </c>
      <c r="R16" s="124">
        <v>1</v>
      </c>
    </row>
    <row r="17" spans="1:18" x14ac:dyDescent="0.4">
      <c r="A17" s="113">
        <v>12</v>
      </c>
      <c r="B17" s="121" t="str">
        <f>IF('3. Intervention Details'!B17="","",'3. Intervention Details'!B17)</f>
        <v/>
      </c>
      <c r="C17" s="109">
        <f>IF('3. Intervention Details'!F17="",0,'3. Intervention Details'!F17)</f>
        <v>0</v>
      </c>
      <c r="D17" s="109">
        <f t="shared" si="1"/>
        <v>0</v>
      </c>
      <c r="E17" s="122"/>
      <c r="F17" s="123">
        <f t="shared" si="2"/>
        <v>0</v>
      </c>
      <c r="G17" s="118">
        <f>'4. Policy Interactive Screen'!D26/100</f>
        <v>0</v>
      </c>
      <c r="H17" s="119"/>
      <c r="I17" s="313">
        <f>'4. Policy Interactive Screen'!G26/100</f>
        <v>0</v>
      </c>
      <c r="J17" s="326">
        <f>'4. Policy Interactive Screen'!J26/100</f>
        <v>0</v>
      </c>
      <c r="K17" s="326">
        <f>'4. Policy Interactive Screen'!M26/100</f>
        <v>0</v>
      </c>
      <c r="L17" s="314">
        <f t="shared" si="4"/>
        <v>0.4</v>
      </c>
      <c r="M17" s="314">
        <f t="shared" si="4"/>
        <v>0.5</v>
      </c>
      <c r="N17" s="314">
        <f t="shared" si="4"/>
        <v>0.6</v>
      </c>
      <c r="O17" s="314">
        <f t="shared" si="4"/>
        <v>0.7</v>
      </c>
      <c r="P17" s="314">
        <f t="shared" si="4"/>
        <v>0.8</v>
      </c>
      <c r="Q17" s="314">
        <f t="shared" si="4"/>
        <v>0.9</v>
      </c>
      <c r="R17" s="124">
        <v>1</v>
      </c>
    </row>
    <row r="18" spans="1:18" x14ac:dyDescent="0.4">
      <c r="A18" s="113">
        <v>13</v>
      </c>
      <c r="B18" s="121" t="str">
        <f>IF('3. Intervention Details'!B18="","",'3. Intervention Details'!B18)</f>
        <v/>
      </c>
      <c r="C18" s="109">
        <f>IF('3. Intervention Details'!F18="",0,'3. Intervention Details'!F18)</f>
        <v>0</v>
      </c>
      <c r="D18" s="109">
        <f t="shared" si="1"/>
        <v>0</v>
      </c>
      <c r="E18" s="122"/>
      <c r="F18" s="123">
        <f t="shared" si="2"/>
        <v>0</v>
      </c>
      <c r="G18" s="118">
        <f>'4. Policy Interactive Screen'!D27/100</f>
        <v>0</v>
      </c>
      <c r="H18" s="119"/>
      <c r="I18" s="313">
        <f>'4. Policy Interactive Screen'!G27/100</f>
        <v>0</v>
      </c>
      <c r="J18" s="326">
        <f>'4. Policy Interactive Screen'!J27/100</f>
        <v>0</v>
      </c>
      <c r="K18" s="326">
        <f>'4. Policy Interactive Screen'!M27/100</f>
        <v>0</v>
      </c>
      <c r="L18" s="314">
        <f t="shared" si="4"/>
        <v>0.4</v>
      </c>
      <c r="M18" s="314">
        <f t="shared" si="4"/>
        <v>0.5</v>
      </c>
      <c r="N18" s="314">
        <f t="shared" si="4"/>
        <v>0.6</v>
      </c>
      <c r="O18" s="314">
        <f t="shared" si="4"/>
        <v>0.7</v>
      </c>
      <c r="P18" s="314">
        <f t="shared" si="4"/>
        <v>0.8</v>
      </c>
      <c r="Q18" s="314">
        <f t="shared" si="4"/>
        <v>0.9</v>
      </c>
      <c r="R18" s="124">
        <v>1</v>
      </c>
    </row>
    <row r="19" spans="1:18" x14ac:dyDescent="0.4">
      <c r="A19" s="113">
        <v>14</v>
      </c>
      <c r="B19" s="121" t="str">
        <f>IF('3. Intervention Details'!B19="","",'3. Intervention Details'!B19)</f>
        <v/>
      </c>
      <c r="C19" s="109">
        <f>IF('3. Intervention Details'!F19="",0,'3. Intervention Details'!F19)</f>
        <v>0</v>
      </c>
      <c r="D19" s="109">
        <f t="shared" si="1"/>
        <v>0</v>
      </c>
      <c r="E19" s="122"/>
      <c r="F19" s="123">
        <f t="shared" si="2"/>
        <v>0</v>
      </c>
      <c r="G19" s="118">
        <f>'4. Policy Interactive Screen'!D28/100</f>
        <v>0</v>
      </c>
      <c r="H19" s="119"/>
      <c r="I19" s="313">
        <f>'4. Policy Interactive Screen'!G28/100</f>
        <v>0</v>
      </c>
      <c r="J19" s="326">
        <f>'4. Policy Interactive Screen'!J28/100</f>
        <v>0</v>
      </c>
      <c r="K19" s="326">
        <f>'4. Policy Interactive Screen'!M28/100</f>
        <v>0</v>
      </c>
      <c r="L19" s="314">
        <f t="shared" si="4"/>
        <v>0.4</v>
      </c>
      <c r="M19" s="314">
        <f t="shared" si="4"/>
        <v>0.5</v>
      </c>
      <c r="N19" s="314">
        <f t="shared" si="4"/>
        <v>0.6</v>
      </c>
      <c r="O19" s="314">
        <f t="shared" si="4"/>
        <v>0.7</v>
      </c>
      <c r="P19" s="314">
        <f t="shared" si="4"/>
        <v>0.8</v>
      </c>
      <c r="Q19" s="314">
        <f t="shared" si="4"/>
        <v>0.9</v>
      </c>
      <c r="R19" s="124">
        <v>1</v>
      </c>
    </row>
    <row r="20" spans="1:18" x14ac:dyDescent="0.4">
      <c r="A20" s="113">
        <v>15</v>
      </c>
      <c r="B20" s="121" t="str">
        <f>IF('3. Intervention Details'!B20="","",'3. Intervention Details'!B20)</f>
        <v/>
      </c>
      <c r="C20" s="109">
        <f>IF('3. Intervention Details'!F20="",0,'3. Intervention Details'!F20)</f>
        <v>0</v>
      </c>
      <c r="D20" s="109">
        <f t="shared" si="1"/>
        <v>0</v>
      </c>
      <c r="E20" s="122"/>
      <c r="F20" s="123">
        <f t="shared" si="2"/>
        <v>0</v>
      </c>
      <c r="G20" s="118">
        <f>'4. Policy Interactive Screen'!D29/100</f>
        <v>0</v>
      </c>
      <c r="H20" s="119"/>
      <c r="I20" s="313">
        <f>'4. Policy Interactive Screen'!G29/100</f>
        <v>0</v>
      </c>
      <c r="J20" s="326">
        <f>'4. Policy Interactive Screen'!J29/100</f>
        <v>0</v>
      </c>
      <c r="K20" s="326">
        <f>'4. Policy Interactive Screen'!M29/100</f>
        <v>0</v>
      </c>
      <c r="L20" s="314">
        <f t="shared" si="4"/>
        <v>0.4</v>
      </c>
      <c r="M20" s="314">
        <f t="shared" si="4"/>
        <v>0.5</v>
      </c>
      <c r="N20" s="314">
        <f t="shared" si="4"/>
        <v>0.6</v>
      </c>
      <c r="O20" s="314">
        <f t="shared" si="4"/>
        <v>0.7</v>
      </c>
      <c r="P20" s="314">
        <f t="shared" si="4"/>
        <v>0.8</v>
      </c>
      <c r="Q20" s="314">
        <f t="shared" si="4"/>
        <v>0.9</v>
      </c>
      <c r="R20" s="124">
        <v>1</v>
      </c>
    </row>
    <row r="21" spans="1:18" x14ac:dyDescent="0.4">
      <c r="A21" s="113">
        <v>16</v>
      </c>
      <c r="B21" s="121" t="str">
        <f>IF('3. Intervention Details'!B21="","",'3. Intervention Details'!B21)</f>
        <v/>
      </c>
      <c r="C21" s="109">
        <f>IF('3. Intervention Details'!F21="",0,'3. Intervention Details'!F21)</f>
        <v>0</v>
      </c>
      <c r="D21" s="109">
        <f t="shared" si="1"/>
        <v>0</v>
      </c>
      <c r="E21" s="122"/>
      <c r="F21" s="123">
        <f t="shared" si="2"/>
        <v>0</v>
      </c>
      <c r="G21" s="118">
        <f>'4. Policy Interactive Screen'!D30/100</f>
        <v>0</v>
      </c>
      <c r="H21" s="119"/>
      <c r="I21" s="313">
        <f>'4. Policy Interactive Screen'!G30/100</f>
        <v>0</v>
      </c>
      <c r="J21" s="326">
        <f>'4. Policy Interactive Screen'!J30/100</f>
        <v>0</v>
      </c>
      <c r="K21" s="326">
        <f>'4. Policy Interactive Screen'!M30/100</f>
        <v>0</v>
      </c>
      <c r="L21" s="314">
        <f t="shared" si="4"/>
        <v>0.4</v>
      </c>
      <c r="M21" s="314">
        <f t="shared" si="4"/>
        <v>0.5</v>
      </c>
      <c r="N21" s="314">
        <f t="shared" si="4"/>
        <v>0.6</v>
      </c>
      <c r="O21" s="314">
        <f t="shared" si="4"/>
        <v>0.7</v>
      </c>
      <c r="P21" s="314">
        <f t="shared" si="4"/>
        <v>0.8</v>
      </c>
      <c r="Q21" s="314">
        <f t="shared" si="4"/>
        <v>0.9</v>
      </c>
      <c r="R21" s="124">
        <v>1</v>
      </c>
    </row>
    <row r="22" spans="1:18" x14ac:dyDescent="0.4">
      <c r="A22" s="113">
        <v>17</v>
      </c>
      <c r="B22" s="121" t="str">
        <f>IF('3. Intervention Details'!B22="","",'3. Intervention Details'!B22)</f>
        <v/>
      </c>
      <c r="C22" s="109">
        <f>IF('3. Intervention Details'!F22="",0,'3. Intervention Details'!F22)</f>
        <v>0</v>
      </c>
      <c r="D22" s="109">
        <f t="shared" si="1"/>
        <v>0</v>
      </c>
      <c r="E22" s="122"/>
      <c r="F22" s="123">
        <f t="shared" si="2"/>
        <v>0</v>
      </c>
      <c r="G22" s="118">
        <f>'4. Policy Interactive Screen'!D31/100</f>
        <v>0</v>
      </c>
      <c r="H22" s="119"/>
      <c r="I22" s="313">
        <f>'4. Policy Interactive Screen'!G31/100</f>
        <v>0</v>
      </c>
      <c r="J22" s="326">
        <f>'4. Policy Interactive Screen'!J31/100</f>
        <v>0</v>
      </c>
      <c r="K22" s="326">
        <f>'4. Policy Interactive Screen'!M31/100</f>
        <v>0</v>
      </c>
      <c r="L22" s="314">
        <f t="shared" si="4"/>
        <v>0.4</v>
      </c>
      <c r="M22" s="314">
        <f t="shared" si="4"/>
        <v>0.5</v>
      </c>
      <c r="N22" s="314">
        <f t="shared" si="4"/>
        <v>0.6</v>
      </c>
      <c r="O22" s="314">
        <f t="shared" si="4"/>
        <v>0.7</v>
      </c>
      <c r="P22" s="314">
        <f t="shared" si="4"/>
        <v>0.8</v>
      </c>
      <c r="Q22" s="314">
        <f t="shared" si="4"/>
        <v>0.9</v>
      </c>
      <c r="R22" s="124">
        <v>1</v>
      </c>
    </row>
    <row r="23" spans="1:18" x14ac:dyDescent="0.4">
      <c r="A23" s="113">
        <v>18</v>
      </c>
      <c r="B23" s="121" t="str">
        <f>IF('3. Intervention Details'!B23="","",'3. Intervention Details'!B23)</f>
        <v/>
      </c>
      <c r="C23" s="109">
        <f>IF('3. Intervention Details'!F23="",0,'3. Intervention Details'!F23)</f>
        <v>0</v>
      </c>
      <c r="D23" s="109">
        <f t="shared" si="1"/>
        <v>0</v>
      </c>
      <c r="E23" s="122"/>
      <c r="F23" s="123">
        <f t="shared" si="2"/>
        <v>0</v>
      </c>
      <c r="G23" s="118">
        <f>'4. Policy Interactive Screen'!D32/100</f>
        <v>0</v>
      </c>
      <c r="H23" s="119"/>
      <c r="I23" s="313">
        <f>'4. Policy Interactive Screen'!G32/100</f>
        <v>0</v>
      </c>
      <c r="J23" s="326">
        <f>'4. Policy Interactive Screen'!J32/100</f>
        <v>0</v>
      </c>
      <c r="K23" s="326">
        <f>'4. Policy Interactive Screen'!M32/100</f>
        <v>0</v>
      </c>
      <c r="L23" s="314">
        <f t="shared" si="4"/>
        <v>0.4</v>
      </c>
      <c r="M23" s="314">
        <f t="shared" si="4"/>
        <v>0.5</v>
      </c>
      <c r="N23" s="314">
        <f t="shared" si="4"/>
        <v>0.6</v>
      </c>
      <c r="O23" s="314">
        <f t="shared" si="4"/>
        <v>0.7</v>
      </c>
      <c r="P23" s="314">
        <f t="shared" si="4"/>
        <v>0.8</v>
      </c>
      <c r="Q23" s="314">
        <f t="shared" si="4"/>
        <v>0.9</v>
      </c>
      <c r="R23" s="124">
        <v>1</v>
      </c>
    </row>
    <row r="24" spans="1:18" x14ac:dyDescent="0.4">
      <c r="A24" s="113">
        <v>19</v>
      </c>
      <c r="B24" s="121" t="str">
        <f>IF('3. Intervention Details'!B24="","",'3. Intervention Details'!B24)</f>
        <v/>
      </c>
      <c r="C24" s="109">
        <f>IF('3. Intervention Details'!F24="",0,'3. Intervention Details'!F24)</f>
        <v>0</v>
      </c>
      <c r="D24" s="109">
        <f t="shared" si="1"/>
        <v>0</v>
      </c>
      <c r="E24" s="122"/>
      <c r="F24" s="123">
        <f t="shared" si="2"/>
        <v>0</v>
      </c>
      <c r="G24" s="118">
        <f>'4. Policy Interactive Screen'!D33/100</f>
        <v>0</v>
      </c>
      <c r="H24" s="119"/>
      <c r="I24" s="313">
        <f>'4. Policy Interactive Screen'!G33/100</f>
        <v>0</v>
      </c>
      <c r="J24" s="326">
        <f>'4. Policy Interactive Screen'!J33/100</f>
        <v>0</v>
      </c>
      <c r="K24" s="326">
        <f>'4. Policy Interactive Screen'!M33/100</f>
        <v>0</v>
      </c>
      <c r="L24" s="314">
        <f t="shared" si="4"/>
        <v>0.4</v>
      </c>
      <c r="M24" s="314">
        <f t="shared" si="4"/>
        <v>0.5</v>
      </c>
      <c r="N24" s="314">
        <f t="shared" si="4"/>
        <v>0.6</v>
      </c>
      <c r="O24" s="314">
        <f t="shared" si="4"/>
        <v>0.7</v>
      </c>
      <c r="P24" s="314">
        <f t="shared" si="4"/>
        <v>0.8</v>
      </c>
      <c r="Q24" s="314">
        <f t="shared" si="4"/>
        <v>0.9</v>
      </c>
      <c r="R24" s="124">
        <v>1</v>
      </c>
    </row>
    <row r="25" spans="1:18" x14ac:dyDescent="0.4">
      <c r="A25" s="113">
        <v>20</v>
      </c>
      <c r="B25" s="121" t="str">
        <f>IF('3. Intervention Details'!B25="","",'3. Intervention Details'!B25)</f>
        <v/>
      </c>
      <c r="C25" s="109">
        <f>IF('3. Intervention Details'!F25="",0,'3. Intervention Details'!F25)</f>
        <v>0</v>
      </c>
      <c r="D25" s="109">
        <f t="shared" si="1"/>
        <v>0</v>
      </c>
      <c r="E25" s="122"/>
      <c r="F25" s="123">
        <f t="shared" si="2"/>
        <v>0</v>
      </c>
      <c r="G25" s="118">
        <f>'4. Policy Interactive Screen'!D34/100</f>
        <v>0</v>
      </c>
      <c r="H25" s="119"/>
      <c r="I25" s="313">
        <f>'4. Policy Interactive Screen'!G34/100</f>
        <v>0</v>
      </c>
      <c r="J25" s="326">
        <f>'4. Policy Interactive Screen'!J34/100</f>
        <v>0</v>
      </c>
      <c r="K25" s="326">
        <f>'4. Policy Interactive Screen'!M34/100</f>
        <v>0</v>
      </c>
      <c r="L25" s="314">
        <f t="shared" si="4"/>
        <v>0.4</v>
      </c>
      <c r="M25" s="314">
        <f t="shared" si="4"/>
        <v>0.5</v>
      </c>
      <c r="N25" s="314">
        <f t="shared" si="4"/>
        <v>0.6</v>
      </c>
      <c r="O25" s="314">
        <f t="shared" si="4"/>
        <v>0.7</v>
      </c>
      <c r="P25" s="314">
        <f t="shared" si="4"/>
        <v>0.8</v>
      </c>
      <c r="Q25" s="314">
        <f t="shared" si="4"/>
        <v>0.9</v>
      </c>
      <c r="R25" s="124">
        <v>1</v>
      </c>
    </row>
    <row r="26" spans="1:18" x14ac:dyDescent="0.4">
      <c r="A26" s="113">
        <v>21</v>
      </c>
      <c r="B26" s="121" t="str">
        <f>IF('3. Intervention Details'!B26="","",'3. Intervention Details'!B26)</f>
        <v/>
      </c>
      <c r="C26" s="109">
        <f>IF('3. Intervention Details'!F26="",0,'3. Intervention Details'!F26)</f>
        <v>0</v>
      </c>
      <c r="D26" s="109">
        <f t="shared" si="1"/>
        <v>0</v>
      </c>
      <c r="E26" s="122"/>
      <c r="F26" s="123">
        <f t="shared" si="2"/>
        <v>0</v>
      </c>
      <c r="G26" s="118">
        <f>'4. Policy Interactive Screen'!D35/100</f>
        <v>0</v>
      </c>
      <c r="H26" s="119"/>
      <c r="I26" s="313">
        <f>'4. Policy Interactive Screen'!G35/100</f>
        <v>0</v>
      </c>
      <c r="J26" s="326">
        <f>'4. Policy Interactive Screen'!J35/100</f>
        <v>0</v>
      </c>
      <c r="K26" s="326">
        <f>'4. Policy Interactive Screen'!M35/100</f>
        <v>0</v>
      </c>
      <c r="L26" s="314">
        <f t="shared" ref="L26:Q35" si="5">$G26+(L$4-baseline_year)*($R26-$G26)/($R$4-baseline_year)</f>
        <v>0.4</v>
      </c>
      <c r="M26" s="314">
        <f t="shared" si="5"/>
        <v>0.5</v>
      </c>
      <c r="N26" s="314">
        <f t="shared" si="5"/>
        <v>0.6</v>
      </c>
      <c r="O26" s="314">
        <f t="shared" si="5"/>
        <v>0.7</v>
      </c>
      <c r="P26" s="314">
        <f t="shared" si="5"/>
        <v>0.8</v>
      </c>
      <c r="Q26" s="314">
        <f t="shared" si="5"/>
        <v>0.9</v>
      </c>
      <c r="R26" s="124">
        <v>1</v>
      </c>
    </row>
    <row r="27" spans="1:18" x14ac:dyDescent="0.4">
      <c r="A27" s="113">
        <v>22</v>
      </c>
      <c r="B27" s="121" t="str">
        <f>IF('3. Intervention Details'!B27="","",'3. Intervention Details'!B27)</f>
        <v/>
      </c>
      <c r="C27" s="109">
        <f>IF('3. Intervention Details'!F27="",0,'3. Intervention Details'!F27)</f>
        <v>0</v>
      </c>
      <c r="D27" s="109">
        <f t="shared" si="1"/>
        <v>0</v>
      </c>
      <c r="E27" s="122"/>
      <c r="F27" s="123">
        <f t="shared" si="2"/>
        <v>0</v>
      </c>
      <c r="G27" s="118">
        <f>'4. Policy Interactive Screen'!D36/100</f>
        <v>0</v>
      </c>
      <c r="H27" s="119"/>
      <c r="I27" s="313">
        <f>'4. Policy Interactive Screen'!G36/100</f>
        <v>0</v>
      </c>
      <c r="J27" s="326">
        <f>'4. Policy Interactive Screen'!J36/100</f>
        <v>0</v>
      </c>
      <c r="K27" s="326">
        <f>'4. Policy Interactive Screen'!M36/100</f>
        <v>0</v>
      </c>
      <c r="L27" s="314">
        <f t="shared" si="5"/>
        <v>0.4</v>
      </c>
      <c r="M27" s="314">
        <f t="shared" si="5"/>
        <v>0.5</v>
      </c>
      <c r="N27" s="314">
        <f t="shared" si="5"/>
        <v>0.6</v>
      </c>
      <c r="O27" s="314">
        <f t="shared" si="5"/>
        <v>0.7</v>
      </c>
      <c r="P27" s="314">
        <f t="shared" si="5"/>
        <v>0.8</v>
      </c>
      <c r="Q27" s="314">
        <f t="shared" si="5"/>
        <v>0.9</v>
      </c>
      <c r="R27" s="124">
        <v>1</v>
      </c>
    </row>
    <row r="28" spans="1:18" x14ac:dyDescent="0.4">
      <c r="A28" s="113">
        <v>23</v>
      </c>
      <c r="B28" s="121" t="str">
        <f>IF('3. Intervention Details'!B28="","",'3. Intervention Details'!B28)</f>
        <v/>
      </c>
      <c r="C28" s="109">
        <f>IF('3. Intervention Details'!F28="",0,'3. Intervention Details'!F28)</f>
        <v>0</v>
      </c>
      <c r="D28" s="109">
        <f t="shared" si="1"/>
        <v>0</v>
      </c>
      <c r="E28" s="122"/>
      <c r="F28" s="123">
        <f t="shared" si="2"/>
        <v>0</v>
      </c>
      <c r="G28" s="118">
        <f>'4. Policy Interactive Screen'!D37/100</f>
        <v>0</v>
      </c>
      <c r="H28" s="119"/>
      <c r="I28" s="313">
        <f>'4. Policy Interactive Screen'!G37/100</f>
        <v>0</v>
      </c>
      <c r="J28" s="326">
        <f>'4. Policy Interactive Screen'!J37/100</f>
        <v>0</v>
      </c>
      <c r="K28" s="326">
        <f>'4. Policy Interactive Screen'!M37/100</f>
        <v>0</v>
      </c>
      <c r="L28" s="314">
        <f t="shared" si="5"/>
        <v>0.4</v>
      </c>
      <c r="M28" s="314">
        <f t="shared" si="5"/>
        <v>0.5</v>
      </c>
      <c r="N28" s="314">
        <f t="shared" si="5"/>
        <v>0.6</v>
      </c>
      <c r="O28" s="314">
        <f t="shared" si="5"/>
        <v>0.7</v>
      </c>
      <c r="P28" s="314">
        <f t="shared" si="5"/>
        <v>0.8</v>
      </c>
      <c r="Q28" s="314">
        <f t="shared" si="5"/>
        <v>0.9</v>
      </c>
      <c r="R28" s="124">
        <v>1</v>
      </c>
    </row>
    <row r="29" spans="1:18" x14ac:dyDescent="0.4">
      <c r="A29" s="113">
        <v>24</v>
      </c>
      <c r="B29" s="121" t="str">
        <f>IF('3. Intervention Details'!B29="","",'3. Intervention Details'!B29)</f>
        <v/>
      </c>
      <c r="C29" s="109">
        <f>IF('3. Intervention Details'!F29="",0,'3. Intervention Details'!F29)</f>
        <v>0</v>
      </c>
      <c r="D29" s="109">
        <f t="shared" si="1"/>
        <v>0</v>
      </c>
      <c r="E29" s="122"/>
      <c r="F29" s="123">
        <f t="shared" si="2"/>
        <v>0</v>
      </c>
      <c r="G29" s="118">
        <f>'4. Policy Interactive Screen'!D38/100</f>
        <v>0</v>
      </c>
      <c r="H29" s="119"/>
      <c r="I29" s="313">
        <f>'4. Policy Interactive Screen'!G38/100</f>
        <v>0</v>
      </c>
      <c r="J29" s="326">
        <f>'4. Policy Interactive Screen'!J38/100</f>
        <v>0</v>
      </c>
      <c r="K29" s="326">
        <f>'4. Policy Interactive Screen'!M38/100</f>
        <v>0</v>
      </c>
      <c r="L29" s="314">
        <f t="shared" si="5"/>
        <v>0.4</v>
      </c>
      <c r="M29" s="314">
        <f t="shared" si="5"/>
        <v>0.5</v>
      </c>
      <c r="N29" s="314">
        <f t="shared" si="5"/>
        <v>0.6</v>
      </c>
      <c r="O29" s="314">
        <f t="shared" si="5"/>
        <v>0.7</v>
      </c>
      <c r="P29" s="314">
        <f t="shared" si="5"/>
        <v>0.8</v>
      </c>
      <c r="Q29" s="314">
        <f t="shared" si="5"/>
        <v>0.9</v>
      </c>
      <c r="R29" s="124">
        <v>1</v>
      </c>
    </row>
    <row r="30" spans="1:18" x14ac:dyDescent="0.4">
      <c r="A30" s="113">
        <v>25</v>
      </c>
      <c r="B30" s="121" t="str">
        <f>IF('3. Intervention Details'!B30="","",'3. Intervention Details'!B30)</f>
        <v/>
      </c>
      <c r="C30" s="109">
        <f>IF('3. Intervention Details'!F30="",0,'3. Intervention Details'!F30)</f>
        <v>0</v>
      </c>
      <c r="D30" s="109">
        <f t="shared" si="1"/>
        <v>0</v>
      </c>
      <c r="E30" s="122"/>
      <c r="F30" s="123">
        <f t="shared" si="2"/>
        <v>0</v>
      </c>
      <c r="G30" s="118">
        <f>'4. Policy Interactive Screen'!D39/100</f>
        <v>0</v>
      </c>
      <c r="H30" s="119"/>
      <c r="I30" s="313">
        <f>'4. Policy Interactive Screen'!G39/100</f>
        <v>0</v>
      </c>
      <c r="J30" s="326">
        <f>'4. Policy Interactive Screen'!J39/100</f>
        <v>0</v>
      </c>
      <c r="K30" s="326">
        <f>'4. Policy Interactive Screen'!M39/100</f>
        <v>0</v>
      </c>
      <c r="L30" s="314">
        <f t="shared" si="5"/>
        <v>0.4</v>
      </c>
      <c r="M30" s="314">
        <f t="shared" si="5"/>
        <v>0.5</v>
      </c>
      <c r="N30" s="314">
        <f t="shared" si="5"/>
        <v>0.6</v>
      </c>
      <c r="O30" s="314">
        <f t="shared" si="5"/>
        <v>0.7</v>
      </c>
      <c r="P30" s="314">
        <f t="shared" si="5"/>
        <v>0.8</v>
      </c>
      <c r="Q30" s="314">
        <f t="shared" si="5"/>
        <v>0.9</v>
      </c>
      <c r="R30" s="124">
        <v>1</v>
      </c>
    </row>
    <row r="31" spans="1:18" x14ac:dyDescent="0.4">
      <c r="A31" s="113">
        <v>26</v>
      </c>
      <c r="B31" s="121" t="str">
        <f>IF('3. Intervention Details'!B31="","",'3. Intervention Details'!B31)</f>
        <v/>
      </c>
      <c r="C31" s="109">
        <f>IF('3. Intervention Details'!F31="",0,'3. Intervention Details'!F31)</f>
        <v>0</v>
      </c>
      <c r="D31" s="109">
        <f t="shared" si="1"/>
        <v>0</v>
      </c>
      <c r="E31" s="122"/>
      <c r="F31" s="123">
        <f t="shared" si="2"/>
        <v>0</v>
      </c>
      <c r="G31" s="118">
        <f>'4. Policy Interactive Screen'!D40/100</f>
        <v>0</v>
      </c>
      <c r="H31" s="119"/>
      <c r="I31" s="313">
        <f>'4. Policy Interactive Screen'!G40/100</f>
        <v>0</v>
      </c>
      <c r="J31" s="326">
        <f>'4. Policy Interactive Screen'!J40/100</f>
        <v>0</v>
      </c>
      <c r="K31" s="326">
        <f>'4. Policy Interactive Screen'!M40/100</f>
        <v>0</v>
      </c>
      <c r="L31" s="314">
        <f t="shared" si="5"/>
        <v>0.4</v>
      </c>
      <c r="M31" s="314">
        <f t="shared" si="5"/>
        <v>0.5</v>
      </c>
      <c r="N31" s="314">
        <f t="shared" si="5"/>
        <v>0.6</v>
      </c>
      <c r="O31" s="314">
        <f t="shared" si="5"/>
        <v>0.7</v>
      </c>
      <c r="P31" s="314">
        <f t="shared" si="5"/>
        <v>0.8</v>
      </c>
      <c r="Q31" s="314">
        <f t="shared" si="5"/>
        <v>0.9</v>
      </c>
      <c r="R31" s="124">
        <v>1</v>
      </c>
    </row>
    <row r="32" spans="1:18" x14ac:dyDescent="0.4">
      <c r="A32" s="113">
        <v>27</v>
      </c>
      <c r="B32" s="121" t="str">
        <f>IF('3. Intervention Details'!B32="","",'3. Intervention Details'!B32)</f>
        <v/>
      </c>
      <c r="C32" s="109">
        <f>IF('3. Intervention Details'!F32="",0,'3. Intervention Details'!F32)</f>
        <v>0</v>
      </c>
      <c r="D32" s="109">
        <f t="shared" si="1"/>
        <v>0</v>
      </c>
      <c r="E32" s="122"/>
      <c r="F32" s="123">
        <f t="shared" si="2"/>
        <v>0</v>
      </c>
      <c r="G32" s="118">
        <f>'4. Policy Interactive Screen'!D41/100</f>
        <v>0</v>
      </c>
      <c r="H32" s="119"/>
      <c r="I32" s="313">
        <f>'4. Policy Interactive Screen'!G41/100</f>
        <v>0</v>
      </c>
      <c r="J32" s="326">
        <f>'4. Policy Interactive Screen'!J41/100</f>
        <v>0</v>
      </c>
      <c r="K32" s="326">
        <f>'4. Policy Interactive Screen'!M41/100</f>
        <v>0</v>
      </c>
      <c r="L32" s="314">
        <f t="shared" si="5"/>
        <v>0.4</v>
      </c>
      <c r="M32" s="314">
        <f t="shared" si="5"/>
        <v>0.5</v>
      </c>
      <c r="N32" s="314">
        <f t="shared" si="5"/>
        <v>0.6</v>
      </c>
      <c r="O32" s="314">
        <f t="shared" si="5"/>
        <v>0.7</v>
      </c>
      <c r="P32" s="314">
        <f t="shared" si="5"/>
        <v>0.8</v>
      </c>
      <c r="Q32" s="314">
        <f t="shared" si="5"/>
        <v>0.9</v>
      </c>
      <c r="R32" s="124">
        <v>1</v>
      </c>
    </row>
    <row r="33" spans="1:18" x14ac:dyDescent="0.4">
      <c r="A33" s="113">
        <v>28</v>
      </c>
      <c r="B33" s="121" t="str">
        <f>IF('3. Intervention Details'!B33="","",'3. Intervention Details'!B33)</f>
        <v/>
      </c>
      <c r="C33" s="109">
        <f>IF('3. Intervention Details'!F33="",0,'3. Intervention Details'!F33)</f>
        <v>0</v>
      </c>
      <c r="D33" s="109">
        <f t="shared" si="1"/>
        <v>0</v>
      </c>
      <c r="E33" s="122"/>
      <c r="F33" s="123">
        <f t="shared" si="2"/>
        <v>0</v>
      </c>
      <c r="G33" s="118">
        <f>'4. Policy Interactive Screen'!D42/100</f>
        <v>0</v>
      </c>
      <c r="H33" s="119"/>
      <c r="I33" s="313">
        <f>'4. Policy Interactive Screen'!G42/100</f>
        <v>0</v>
      </c>
      <c r="J33" s="326">
        <f>'4. Policy Interactive Screen'!J42/100</f>
        <v>0</v>
      </c>
      <c r="K33" s="326">
        <f>'4. Policy Interactive Screen'!M42/100</f>
        <v>0</v>
      </c>
      <c r="L33" s="314">
        <f t="shared" si="5"/>
        <v>0.4</v>
      </c>
      <c r="M33" s="314">
        <f t="shared" si="5"/>
        <v>0.5</v>
      </c>
      <c r="N33" s="314">
        <f t="shared" si="5"/>
        <v>0.6</v>
      </c>
      <c r="O33" s="314">
        <f t="shared" si="5"/>
        <v>0.7</v>
      </c>
      <c r="P33" s="314">
        <f t="shared" si="5"/>
        <v>0.8</v>
      </c>
      <c r="Q33" s="314">
        <f t="shared" si="5"/>
        <v>0.9</v>
      </c>
      <c r="R33" s="124">
        <v>1</v>
      </c>
    </row>
    <row r="34" spans="1:18" x14ac:dyDescent="0.4">
      <c r="A34" s="113">
        <v>29</v>
      </c>
      <c r="B34" s="121" t="str">
        <f>IF('3. Intervention Details'!B34="","",'3. Intervention Details'!B34)</f>
        <v/>
      </c>
      <c r="C34" s="109">
        <f>IF('3. Intervention Details'!F34="",0,'3. Intervention Details'!F34)</f>
        <v>0</v>
      </c>
      <c r="D34" s="109">
        <f t="shared" si="1"/>
        <v>0</v>
      </c>
      <c r="E34" s="122"/>
      <c r="F34" s="123">
        <f t="shared" si="2"/>
        <v>0</v>
      </c>
      <c r="G34" s="118">
        <f>'4. Policy Interactive Screen'!D43/100</f>
        <v>0</v>
      </c>
      <c r="H34" s="119"/>
      <c r="I34" s="313">
        <f>'4. Policy Interactive Screen'!G43/100</f>
        <v>0</v>
      </c>
      <c r="J34" s="326">
        <f>'4. Policy Interactive Screen'!J43/100</f>
        <v>0</v>
      </c>
      <c r="K34" s="326">
        <f>'4. Policy Interactive Screen'!M43/100</f>
        <v>0</v>
      </c>
      <c r="L34" s="314">
        <f t="shared" si="5"/>
        <v>0.4</v>
      </c>
      <c r="M34" s="314">
        <f t="shared" si="5"/>
        <v>0.5</v>
      </c>
      <c r="N34" s="314">
        <f t="shared" si="5"/>
        <v>0.6</v>
      </c>
      <c r="O34" s="314">
        <f t="shared" si="5"/>
        <v>0.7</v>
      </c>
      <c r="P34" s="314">
        <f t="shared" si="5"/>
        <v>0.8</v>
      </c>
      <c r="Q34" s="314">
        <f t="shared" si="5"/>
        <v>0.9</v>
      </c>
      <c r="R34" s="124">
        <v>1</v>
      </c>
    </row>
    <row r="35" spans="1:18" x14ac:dyDescent="0.4">
      <c r="A35" s="113">
        <v>30</v>
      </c>
      <c r="B35" s="121" t="str">
        <f>IF('3. Intervention Details'!B35="","",'3. Intervention Details'!B35)</f>
        <v/>
      </c>
      <c r="C35" s="109">
        <f>IF('3. Intervention Details'!F35="",0,'3. Intervention Details'!F35)</f>
        <v>0</v>
      </c>
      <c r="D35" s="109">
        <f t="shared" si="1"/>
        <v>0</v>
      </c>
      <c r="E35" s="122"/>
      <c r="F35" s="123">
        <f t="shared" si="2"/>
        <v>0</v>
      </c>
      <c r="G35" s="118">
        <f>'4. Policy Interactive Screen'!D44/100</f>
        <v>0</v>
      </c>
      <c r="H35" s="119"/>
      <c r="I35" s="313">
        <f>'4. Policy Interactive Screen'!G44/100</f>
        <v>0</v>
      </c>
      <c r="J35" s="326">
        <f>'4. Policy Interactive Screen'!J44/100</f>
        <v>0</v>
      </c>
      <c r="K35" s="326">
        <f>'4. Policy Interactive Screen'!M44/100</f>
        <v>0</v>
      </c>
      <c r="L35" s="314">
        <f t="shared" si="5"/>
        <v>0.4</v>
      </c>
      <c r="M35" s="314">
        <f t="shared" si="5"/>
        <v>0.5</v>
      </c>
      <c r="N35" s="314">
        <f t="shared" si="5"/>
        <v>0.6</v>
      </c>
      <c r="O35" s="314">
        <f t="shared" si="5"/>
        <v>0.7</v>
      </c>
      <c r="P35" s="314">
        <f t="shared" si="5"/>
        <v>0.8</v>
      </c>
      <c r="Q35" s="314">
        <f t="shared" si="5"/>
        <v>0.9</v>
      </c>
      <c r="R35" s="124">
        <v>1</v>
      </c>
    </row>
    <row r="36" spans="1:18" x14ac:dyDescent="0.4">
      <c r="A36" s="113">
        <v>31</v>
      </c>
      <c r="B36" s="121" t="str">
        <f>IF('3. Intervention Details'!B36="","",'3. Intervention Details'!B36)</f>
        <v/>
      </c>
      <c r="C36" s="109">
        <f>IF('3. Intervention Details'!F36="",0,'3. Intervention Details'!F36)</f>
        <v>0</v>
      </c>
      <c r="D36" s="109">
        <f t="shared" si="1"/>
        <v>0</v>
      </c>
      <c r="E36" s="122"/>
      <c r="F36" s="123">
        <f t="shared" si="2"/>
        <v>0</v>
      </c>
      <c r="G36" s="118">
        <f>'4. Policy Interactive Screen'!D45/100</f>
        <v>0</v>
      </c>
      <c r="H36" s="119"/>
      <c r="I36" s="313">
        <f>'4. Policy Interactive Screen'!G45/100</f>
        <v>0</v>
      </c>
      <c r="J36" s="326">
        <f>'4. Policy Interactive Screen'!J45/100</f>
        <v>0</v>
      </c>
      <c r="K36" s="326">
        <f>'4. Policy Interactive Screen'!M45/100</f>
        <v>0</v>
      </c>
      <c r="L36" s="314">
        <f t="shared" ref="L36:Q45" si="6">$G36+(L$4-baseline_year)*($R36-$G36)/($R$4-baseline_year)</f>
        <v>0.4</v>
      </c>
      <c r="M36" s="314">
        <f t="shared" si="6"/>
        <v>0.5</v>
      </c>
      <c r="N36" s="314">
        <f t="shared" si="6"/>
        <v>0.6</v>
      </c>
      <c r="O36" s="314">
        <f t="shared" si="6"/>
        <v>0.7</v>
      </c>
      <c r="P36" s="314">
        <f t="shared" si="6"/>
        <v>0.8</v>
      </c>
      <c r="Q36" s="314">
        <f t="shared" si="6"/>
        <v>0.9</v>
      </c>
      <c r="R36" s="124">
        <v>1</v>
      </c>
    </row>
    <row r="37" spans="1:18" x14ac:dyDescent="0.4">
      <c r="A37" s="113">
        <v>32</v>
      </c>
      <c r="B37" s="121" t="str">
        <f>IF('3. Intervention Details'!B37="","",'3. Intervention Details'!B37)</f>
        <v/>
      </c>
      <c r="C37" s="109">
        <f>IF('3. Intervention Details'!F37="",0,'3. Intervention Details'!F37)</f>
        <v>0</v>
      </c>
      <c r="D37" s="109">
        <f t="shared" si="1"/>
        <v>0</v>
      </c>
      <c r="E37" s="122"/>
      <c r="F37" s="123">
        <f t="shared" si="2"/>
        <v>0</v>
      </c>
      <c r="G37" s="118">
        <f>'4. Policy Interactive Screen'!D46/100</f>
        <v>0</v>
      </c>
      <c r="H37" s="119"/>
      <c r="I37" s="313">
        <f>'4. Policy Interactive Screen'!G46/100</f>
        <v>0</v>
      </c>
      <c r="J37" s="326">
        <f>'4. Policy Interactive Screen'!J46/100</f>
        <v>0</v>
      </c>
      <c r="K37" s="326">
        <f>'4. Policy Interactive Screen'!M46/100</f>
        <v>0</v>
      </c>
      <c r="L37" s="314">
        <f t="shared" si="6"/>
        <v>0.4</v>
      </c>
      <c r="M37" s="314">
        <f t="shared" si="6"/>
        <v>0.5</v>
      </c>
      <c r="N37" s="314">
        <f t="shared" si="6"/>
        <v>0.6</v>
      </c>
      <c r="O37" s="314">
        <f t="shared" si="6"/>
        <v>0.7</v>
      </c>
      <c r="P37" s="314">
        <f t="shared" si="6"/>
        <v>0.8</v>
      </c>
      <c r="Q37" s="314">
        <f t="shared" si="6"/>
        <v>0.9</v>
      </c>
      <c r="R37" s="124">
        <v>1</v>
      </c>
    </row>
    <row r="38" spans="1:18" x14ac:dyDescent="0.4">
      <c r="A38" s="113">
        <v>33</v>
      </c>
      <c r="B38" s="121" t="str">
        <f>IF('3. Intervention Details'!B38="","",'3. Intervention Details'!B38)</f>
        <v/>
      </c>
      <c r="C38" s="109">
        <f>IF('3. Intervention Details'!F38="",0,'3. Intervention Details'!F38)</f>
        <v>0</v>
      </c>
      <c r="D38" s="109">
        <f t="shared" ref="D38:D69" si="7">IF(B38="",0,VLOOKUP(B38,lookup_masterlist,3,FALSE))</f>
        <v>0</v>
      </c>
      <c r="E38" s="122"/>
      <c r="F38" s="123">
        <f t="shared" ref="F38:F69" si="8">IF(B38="",0,IF(C38="Urban",(VLOOKUP(D38,lookup_urban,2,FALSE)*VLOOKUP(B38,lookup_masterlist,6,FALSE)),IF(C38="Rural",VLOOKUP(D38,lookup_rural,2,FALSE)*VLOOKUP(B38,lookup_masterlist,6,FALSE),VLOOKUP(D38,lookup_demography,2,FALSE)*VLOOKUP(B38,lookup_masterlist,6,FALSE))))</f>
        <v>0</v>
      </c>
      <c r="G38" s="118">
        <f>'4. Policy Interactive Screen'!D47/100</f>
        <v>0</v>
      </c>
      <c r="H38" s="119"/>
      <c r="I38" s="313">
        <f>'4. Policy Interactive Screen'!G47/100</f>
        <v>0</v>
      </c>
      <c r="J38" s="326">
        <f>'4. Policy Interactive Screen'!J47/100</f>
        <v>0</v>
      </c>
      <c r="K38" s="326">
        <f>'4. Policy Interactive Screen'!M47/100</f>
        <v>0</v>
      </c>
      <c r="L38" s="314">
        <f t="shared" si="6"/>
        <v>0.4</v>
      </c>
      <c r="M38" s="314">
        <f t="shared" si="6"/>
        <v>0.5</v>
      </c>
      <c r="N38" s="314">
        <f t="shared" si="6"/>
        <v>0.6</v>
      </c>
      <c r="O38" s="314">
        <f t="shared" si="6"/>
        <v>0.7</v>
      </c>
      <c r="P38" s="314">
        <f t="shared" si="6"/>
        <v>0.8</v>
      </c>
      <c r="Q38" s="314">
        <f t="shared" si="6"/>
        <v>0.9</v>
      </c>
      <c r="R38" s="124">
        <v>1</v>
      </c>
    </row>
    <row r="39" spans="1:18" x14ac:dyDescent="0.4">
      <c r="A39" s="113">
        <v>34</v>
      </c>
      <c r="B39" s="121" t="str">
        <f>IF('3. Intervention Details'!B39="","",'3. Intervention Details'!B39)</f>
        <v/>
      </c>
      <c r="C39" s="109">
        <f>IF('3. Intervention Details'!F39="",0,'3. Intervention Details'!F39)</f>
        <v>0</v>
      </c>
      <c r="D39" s="109">
        <f t="shared" si="7"/>
        <v>0</v>
      </c>
      <c r="E39" s="122"/>
      <c r="F39" s="123">
        <f t="shared" si="8"/>
        <v>0</v>
      </c>
      <c r="G39" s="118">
        <f>'4. Policy Interactive Screen'!D48/100</f>
        <v>0</v>
      </c>
      <c r="H39" s="119"/>
      <c r="I39" s="313">
        <f>'4. Policy Interactive Screen'!G48/100</f>
        <v>0</v>
      </c>
      <c r="J39" s="326">
        <f>'4. Policy Interactive Screen'!J48/100</f>
        <v>0</v>
      </c>
      <c r="K39" s="326">
        <f>'4. Policy Interactive Screen'!M48/100</f>
        <v>0</v>
      </c>
      <c r="L39" s="314">
        <f t="shared" si="6"/>
        <v>0.4</v>
      </c>
      <c r="M39" s="314">
        <f t="shared" si="6"/>
        <v>0.5</v>
      </c>
      <c r="N39" s="314">
        <f t="shared" si="6"/>
        <v>0.6</v>
      </c>
      <c r="O39" s="314">
        <f t="shared" si="6"/>
        <v>0.7</v>
      </c>
      <c r="P39" s="314">
        <f t="shared" si="6"/>
        <v>0.8</v>
      </c>
      <c r="Q39" s="314">
        <f t="shared" si="6"/>
        <v>0.9</v>
      </c>
      <c r="R39" s="124">
        <v>1</v>
      </c>
    </row>
    <row r="40" spans="1:18" x14ac:dyDescent="0.4">
      <c r="A40" s="113">
        <v>35</v>
      </c>
      <c r="B40" s="121" t="str">
        <f>IF('3. Intervention Details'!B40="","",'3. Intervention Details'!B40)</f>
        <v/>
      </c>
      <c r="C40" s="109">
        <f>IF('3. Intervention Details'!F40="",0,'3. Intervention Details'!F40)</f>
        <v>0</v>
      </c>
      <c r="D40" s="109">
        <f t="shared" si="7"/>
        <v>0</v>
      </c>
      <c r="E40" s="122"/>
      <c r="F40" s="123">
        <f t="shared" si="8"/>
        <v>0</v>
      </c>
      <c r="G40" s="118">
        <f>'4. Policy Interactive Screen'!D49/100</f>
        <v>0</v>
      </c>
      <c r="H40" s="119"/>
      <c r="I40" s="313">
        <f>'4. Policy Interactive Screen'!G49/100</f>
        <v>0</v>
      </c>
      <c r="J40" s="326">
        <f>'4. Policy Interactive Screen'!J49/100</f>
        <v>0</v>
      </c>
      <c r="K40" s="326">
        <f>'4. Policy Interactive Screen'!M49/100</f>
        <v>0</v>
      </c>
      <c r="L40" s="314">
        <f t="shared" si="6"/>
        <v>0.4</v>
      </c>
      <c r="M40" s="314">
        <f t="shared" si="6"/>
        <v>0.5</v>
      </c>
      <c r="N40" s="314">
        <f t="shared" si="6"/>
        <v>0.6</v>
      </c>
      <c r="O40" s="314">
        <f t="shared" si="6"/>
        <v>0.7</v>
      </c>
      <c r="P40" s="314">
        <f t="shared" si="6"/>
        <v>0.8</v>
      </c>
      <c r="Q40" s="314">
        <f t="shared" si="6"/>
        <v>0.9</v>
      </c>
      <c r="R40" s="124">
        <v>1</v>
      </c>
    </row>
    <row r="41" spans="1:18" x14ac:dyDescent="0.4">
      <c r="A41" s="113">
        <v>36</v>
      </c>
      <c r="B41" s="121" t="str">
        <f>IF('3. Intervention Details'!B41="","",'3. Intervention Details'!B41)</f>
        <v/>
      </c>
      <c r="C41" s="109">
        <f>IF('3. Intervention Details'!F41="",0,'3. Intervention Details'!F41)</f>
        <v>0</v>
      </c>
      <c r="D41" s="109">
        <f t="shared" si="7"/>
        <v>0</v>
      </c>
      <c r="E41" s="122"/>
      <c r="F41" s="123">
        <f t="shared" si="8"/>
        <v>0</v>
      </c>
      <c r="G41" s="118">
        <f>'4. Policy Interactive Screen'!D50/100</f>
        <v>0</v>
      </c>
      <c r="H41" s="119"/>
      <c r="I41" s="313">
        <f>'4. Policy Interactive Screen'!G50/100</f>
        <v>0</v>
      </c>
      <c r="J41" s="326">
        <f>'4. Policy Interactive Screen'!J50/100</f>
        <v>0</v>
      </c>
      <c r="K41" s="326">
        <f>'4. Policy Interactive Screen'!M50/100</f>
        <v>0</v>
      </c>
      <c r="L41" s="314">
        <f t="shared" si="6"/>
        <v>0.4</v>
      </c>
      <c r="M41" s="314">
        <f t="shared" si="6"/>
        <v>0.5</v>
      </c>
      <c r="N41" s="314">
        <f t="shared" si="6"/>
        <v>0.6</v>
      </c>
      <c r="O41" s="314">
        <f t="shared" si="6"/>
        <v>0.7</v>
      </c>
      <c r="P41" s="314">
        <f t="shared" si="6"/>
        <v>0.8</v>
      </c>
      <c r="Q41" s="314">
        <f t="shared" si="6"/>
        <v>0.9</v>
      </c>
      <c r="R41" s="124">
        <v>1</v>
      </c>
    </row>
    <row r="42" spans="1:18" x14ac:dyDescent="0.4">
      <c r="A42" s="113">
        <v>37</v>
      </c>
      <c r="B42" s="121" t="str">
        <f>IF('3. Intervention Details'!B42="","",'3. Intervention Details'!B42)</f>
        <v/>
      </c>
      <c r="C42" s="109">
        <f>IF('3. Intervention Details'!F42="",0,'3. Intervention Details'!F42)</f>
        <v>0</v>
      </c>
      <c r="D42" s="109">
        <f t="shared" si="7"/>
        <v>0</v>
      </c>
      <c r="E42" s="122"/>
      <c r="F42" s="123">
        <f t="shared" si="8"/>
        <v>0</v>
      </c>
      <c r="G42" s="118">
        <f>'4. Policy Interactive Screen'!D51/100</f>
        <v>0</v>
      </c>
      <c r="H42" s="119"/>
      <c r="I42" s="313">
        <f>'4. Policy Interactive Screen'!G51/100</f>
        <v>0</v>
      </c>
      <c r="J42" s="326">
        <f>'4. Policy Interactive Screen'!J51/100</f>
        <v>0</v>
      </c>
      <c r="K42" s="326">
        <f>'4. Policy Interactive Screen'!M51/100</f>
        <v>0</v>
      </c>
      <c r="L42" s="314">
        <f t="shared" si="6"/>
        <v>0.4</v>
      </c>
      <c r="M42" s="314">
        <f t="shared" si="6"/>
        <v>0.5</v>
      </c>
      <c r="N42" s="314">
        <f t="shared" si="6"/>
        <v>0.6</v>
      </c>
      <c r="O42" s="314">
        <f t="shared" si="6"/>
        <v>0.7</v>
      </c>
      <c r="P42" s="314">
        <f t="shared" si="6"/>
        <v>0.8</v>
      </c>
      <c r="Q42" s="314">
        <f t="shared" si="6"/>
        <v>0.9</v>
      </c>
      <c r="R42" s="124">
        <v>1</v>
      </c>
    </row>
    <row r="43" spans="1:18" x14ac:dyDescent="0.4">
      <c r="A43" s="113">
        <v>38</v>
      </c>
      <c r="B43" s="121" t="str">
        <f>IF('3. Intervention Details'!B43="","",'3. Intervention Details'!B43)</f>
        <v/>
      </c>
      <c r="C43" s="109">
        <f>IF('3. Intervention Details'!F43="",0,'3. Intervention Details'!F43)</f>
        <v>0</v>
      </c>
      <c r="D43" s="109">
        <f t="shared" si="7"/>
        <v>0</v>
      </c>
      <c r="E43" s="122"/>
      <c r="F43" s="123">
        <f t="shared" si="8"/>
        <v>0</v>
      </c>
      <c r="G43" s="118">
        <f>'4. Policy Interactive Screen'!D52/100</f>
        <v>0</v>
      </c>
      <c r="H43" s="119"/>
      <c r="I43" s="313">
        <f>'4. Policy Interactive Screen'!G52/100</f>
        <v>0</v>
      </c>
      <c r="J43" s="326">
        <f>'4. Policy Interactive Screen'!J52/100</f>
        <v>0</v>
      </c>
      <c r="K43" s="326">
        <f>'4. Policy Interactive Screen'!M52/100</f>
        <v>0</v>
      </c>
      <c r="L43" s="314">
        <f t="shared" si="6"/>
        <v>0.4</v>
      </c>
      <c r="M43" s="314">
        <f t="shared" si="6"/>
        <v>0.5</v>
      </c>
      <c r="N43" s="314">
        <f t="shared" si="6"/>
        <v>0.6</v>
      </c>
      <c r="O43" s="314">
        <f t="shared" si="6"/>
        <v>0.7</v>
      </c>
      <c r="P43" s="314">
        <f t="shared" si="6"/>
        <v>0.8</v>
      </c>
      <c r="Q43" s="314">
        <f t="shared" si="6"/>
        <v>0.9</v>
      </c>
      <c r="R43" s="124">
        <v>1</v>
      </c>
    </row>
    <row r="44" spans="1:18" x14ac:dyDescent="0.4">
      <c r="A44" s="113">
        <v>39</v>
      </c>
      <c r="B44" s="121" t="str">
        <f>IF('3. Intervention Details'!B44="","",'3. Intervention Details'!B44)</f>
        <v/>
      </c>
      <c r="C44" s="109">
        <f>IF('3. Intervention Details'!F44="",0,'3. Intervention Details'!F44)</f>
        <v>0</v>
      </c>
      <c r="D44" s="109">
        <f t="shared" si="7"/>
        <v>0</v>
      </c>
      <c r="E44" s="122"/>
      <c r="F44" s="123">
        <f t="shared" si="8"/>
        <v>0</v>
      </c>
      <c r="G44" s="118">
        <f>'4. Policy Interactive Screen'!D53/100</f>
        <v>0</v>
      </c>
      <c r="H44" s="119"/>
      <c r="I44" s="313">
        <f>'4. Policy Interactive Screen'!G53/100</f>
        <v>0</v>
      </c>
      <c r="J44" s="326">
        <f>'4. Policy Interactive Screen'!J53/100</f>
        <v>0</v>
      </c>
      <c r="K44" s="326">
        <f>'4. Policy Interactive Screen'!M53/100</f>
        <v>0</v>
      </c>
      <c r="L44" s="314">
        <f t="shared" si="6"/>
        <v>0.4</v>
      </c>
      <c r="M44" s="314">
        <f t="shared" si="6"/>
        <v>0.5</v>
      </c>
      <c r="N44" s="314">
        <f t="shared" si="6"/>
        <v>0.6</v>
      </c>
      <c r="O44" s="314">
        <f t="shared" si="6"/>
        <v>0.7</v>
      </c>
      <c r="P44" s="314">
        <f t="shared" si="6"/>
        <v>0.8</v>
      </c>
      <c r="Q44" s="314">
        <f t="shared" si="6"/>
        <v>0.9</v>
      </c>
      <c r="R44" s="124">
        <v>1</v>
      </c>
    </row>
    <row r="45" spans="1:18" x14ac:dyDescent="0.4">
      <c r="A45" s="113">
        <v>40</v>
      </c>
      <c r="B45" s="121" t="str">
        <f>IF('3. Intervention Details'!B45="","",'3. Intervention Details'!B45)</f>
        <v/>
      </c>
      <c r="C45" s="109">
        <f>IF('3. Intervention Details'!F45="",0,'3. Intervention Details'!F45)</f>
        <v>0</v>
      </c>
      <c r="D45" s="109">
        <f t="shared" si="7"/>
        <v>0</v>
      </c>
      <c r="E45" s="122"/>
      <c r="F45" s="123">
        <f t="shared" si="8"/>
        <v>0</v>
      </c>
      <c r="G45" s="118">
        <f>'4. Policy Interactive Screen'!D54/100</f>
        <v>0</v>
      </c>
      <c r="H45" s="119"/>
      <c r="I45" s="313">
        <f>'4. Policy Interactive Screen'!G54/100</f>
        <v>0</v>
      </c>
      <c r="J45" s="326">
        <f>'4. Policy Interactive Screen'!J54/100</f>
        <v>0</v>
      </c>
      <c r="K45" s="326">
        <f>'4. Policy Interactive Screen'!M54/100</f>
        <v>0</v>
      </c>
      <c r="L45" s="314">
        <f t="shared" si="6"/>
        <v>0.4</v>
      </c>
      <c r="M45" s="314">
        <f t="shared" si="6"/>
        <v>0.5</v>
      </c>
      <c r="N45" s="314">
        <f t="shared" si="6"/>
        <v>0.6</v>
      </c>
      <c r="O45" s="314">
        <f t="shared" si="6"/>
        <v>0.7</v>
      </c>
      <c r="P45" s="314">
        <f t="shared" si="6"/>
        <v>0.8</v>
      </c>
      <c r="Q45" s="314">
        <f t="shared" si="6"/>
        <v>0.9</v>
      </c>
      <c r="R45" s="124">
        <v>1</v>
      </c>
    </row>
    <row r="46" spans="1:18" x14ac:dyDescent="0.4">
      <c r="A46" s="113">
        <v>41</v>
      </c>
      <c r="B46" s="121" t="str">
        <f>IF('3. Intervention Details'!B46="","",'3. Intervention Details'!B46)</f>
        <v/>
      </c>
      <c r="C46" s="109">
        <f>IF('3. Intervention Details'!F46="",0,'3. Intervention Details'!F46)</f>
        <v>0</v>
      </c>
      <c r="D46" s="109">
        <f t="shared" si="7"/>
        <v>0</v>
      </c>
      <c r="E46" s="122"/>
      <c r="F46" s="123">
        <f t="shared" si="8"/>
        <v>0</v>
      </c>
      <c r="G46" s="118">
        <f>'4. Policy Interactive Screen'!D55/100</f>
        <v>0</v>
      </c>
      <c r="H46" s="119"/>
      <c r="I46" s="313">
        <f>'4. Policy Interactive Screen'!G55/100</f>
        <v>0</v>
      </c>
      <c r="J46" s="326">
        <f>'4. Policy Interactive Screen'!J55/100</f>
        <v>0</v>
      </c>
      <c r="K46" s="326">
        <f>'4. Policy Interactive Screen'!M55/100</f>
        <v>0</v>
      </c>
      <c r="L46" s="314">
        <f t="shared" ref="L46:Q55" si="9">$G46+(L$4-baseline_year)*($R46-$G46)/($R$4-baseline_year)</f>
        <v>0.4</v>
      </c>
      <c r="M46" s="314">
        <f t="shared" si="9"/>
        <v>0.5</v>
      </c>
      <c r="N46" s="314">
        <f t="shared" si="9"/>
        <v>0.6</v>
      </c>
      <c r="O46" s="314">
        <f t="shared" si="9"/>
        <v>0.7</v>
      </c>
      <c r="P46" s="314">
        <f t="shared" si="9"/>
        <v>0.8</v>
      </c>
      <c r="Q46" s="314">
        <f t="shared" si="9"/>
        <v>0.9</v>
      </c>
      <c r="R46" s="124">
        <v>1</v>
      </c>
    </row>
    <row r="47" spans="1:18" x14ac:dyDescent="0.4">
      <c r="A47" s="113">
        <v>42</v>
      </c>
      <c r="B47" s="121" t="str">
        <f>IF('3. Intervention Details'!B47="","",'3. Intervention Details'!B47)</f>
        <v/>
      </c>
      <c r="C47" s="109">
        <f>IF('3. Intervention Details'!F47="",0,'3. Intervention Details'!F47)</f>
        <v>0</v>
      </c>
      <c r="D47" s="109">
        <f t="shared" si="7"/>
        <v>0</v>
      </c>
      <c r="E47" s="122"/>
      <c r="F47" s="123">
        <f t="shared" si="8"/>
        <v>0</v>
      </c>
      <c r="G47" s="118">
        <f>'4. Policy Interactive Screen'!D56/100</f>
        <v>0</v>
      </c>
      <c r="H47" s="119"/>
      <c r="I47" s="313">
        <f>'4. Policy Interactive Screen'!G56/100</f>
        <v>0</v>
      </c>
      <c r="J47" s="326">
        <f>'4. Policy Interactive Screen'!J56/100</f>
        <v>0</v>
      </c>
      <c r="K47" s="326">
        <f>'4. Policy Interactive Screen'!M56/100</f>
        <v>0</v>
      </c>
      <c r="L47" s="314">
        <f t="shared" si="9"/>
        <v>0.4</v>
      </c>
      <c r="M47" s="314">
        <f t="shared" si="9"/>
        <v>0.5</v>
      </c>
      <c r="N47" s="314">
        <f t="shared" si="9"/>
        <v>0.6</v>
      </c>
      <c r="O47" s="314">
        <f t="shared" si="9"/>
        <v>0.7</v>
      </c>
      <c r="P47" s="314">
        <f t="shared" si="9"/>
        <v>0.8</v>
      </c>
      <c r="Q47" s="314">
        <f t="shared" si="9"/>
        <v>0.9</v>
      </c>
      <c r="R47" s="124">
        <v>1</v>
      </c>
    </row>
    <row r="48" spans="1:18" x14ac:dyDescent="0.4">
      <c r="A48" s="113">
        <v>43</v>
      </c>
      <c r="B48" s="121" t="str">
        <f>IF('3. Intervention Details'!B48="","",'3. Intervention Details'!B48)</f>
        <v/>
      </c>
      <c r="C48" s="109">
        <f>IF('3. Intervention Details'!F48="",0,'3. Intervention Details'!F48)</f>
        <v>0</v>
      </c>
      <c r="D48" s="109">
        <f t="shared" si="7"/>
        <v>0</v>
      </c>
      <c r="E48" s="122"/>
      <c r="F48" s="123">
        <f t="shared" si="8"/>
        <v>0</v>
      </c>
      <c r="G48" s="118">
        <f>'4. Policy Interactive Screen'!D57/100</f>
        <v>0</v>
      </c>
      <c r="H48" s="119"/>
      <c r="I48" s="313">
        <f>'4. Policy Interactive Screen'!G57/100</f>
        <v>0</v>
      </c>
      <c r="J48" s="326">
        <f>'4. Policy Interactive Screen'!J57/100</f>
        <v>0</v>
      </c>
      <c r="K48" s="326">
        <f>'4. Policy Interactive Screen'!M57/100</f>
        <v>0</v>
      </c>
      <c r="L48" s="314">
        <f t="shared" si="9"/>
        <v>0.4</v>
      </c>
      <c r="M48" s="314">
        <f t="shared" si="9"/>
        <v>0.5</v>
      </c>
      <c r="N48" s="314">
        <f t="shared" si="9"/>
        <v>0.6</v>
      </c>
      <c r="O48" s="314">
        <f t="shared" si="9"/>
        <v>0.7</v>
      </c>
      <c r="P48" s="314">
        <f t="shared" si="9"/>
        <v>0.8</v>
      </c>
      <c r="Q48" s="314">
        <f t="shared" si="9"/>
        <v>0.9</v>
      </c>
      <c r="R48" s="124">
        <v>1</v>
      </c>
    </row>
    <row r="49" spans="1:18" x14ac:dyDescent="0.4">
      <c r="A49" s="113">
        <v>44</v>
      </c>
      <c r="B49" s="121" t="str">
        <f>IF('3. Intervention Details'!B49="","",'3. Intervention Details'!B49)</f>
        <v/>
      </c>
      <c r="C49" s="109">
        <f>IF('3. Intervention Details'!F49="",0,'3. Intervention Details'!F49)</f>
        <v>0</v>
      </c>
      <c r="D49" s="109">
        <f t="shared" si="7"/>
        <v>0</v>
      </c>
      <c r="E49" s="122"/>
      <c r="F49" s="123">
        <f t="shared" si="8"/>
        <v>0</v>
      </c>
      <c r="G49" s="118">
        <f>'4. Policy Interactive Screen'!D58/100</f>
        <v>0</v>
      </c>
      <c r="H49" s="119"/>
      <c r="I49" s="313">
        <f>'4. Policy Interactive Screen'!G58/100</f>
        <v>0</v>
      </c>
      <c r="J49" s="326">
        <f>'4. Policy Interactive Screen'!J58/100</f>
        <v>0</v>
      </c>
      <c r="K49" s="326">
        <f>'4. Policy Interactive Screen'!M58/100</f>
        <v>0</v>
      </c>
      <c r="L49" s="314">
        <f t="shared" si="9"/>
        <v>0.4</v>
      </c>
      <c r="M49" s="314">
        <f t="shared" si="9"/>
        <v>0.5</v>
      </c>
      <c r="N49" s="314">
        <f t="shared" si="9"/>
        <v>0.6</v>
      </c>
      <c r="O49" s="314">
        <f t="shared" si="9"/>
        <v>0.7</v>
      </c>
      <c r="P49" s="314">
        <f t="shared" si="9"/>
        <v>0.8</v>
      </c>
      <c r="Q49" s="314">
        <f t="shared" si="9"/>
        <v>0.9</v>
      </c>
      <c r="R49" s="124">
        <v>1</v>
      </c>
    </row>
    <row r="50" spans="1:18" x14ac:dyDescent="0.4">
      <c r="A50" s="113">
        <v>45</v>
      </c>
      <c r="B50" s="121" t="str">
        <f>IF('3. Intervention Details'!B50="","",'3. Intervention Details'!B50)</f>
        <v/>
      </c>
      <c r="C50" s="109">
        <f>IF('3. Intervention Details'!F50="",0,'3. Intervention Details'!F50)</f>
        <v>0</v>
      </c>
      <c r="D50" s="109">
        <f t="shared" si="7"/>
        <v>0</v>
      </c>
      <c r="E50" s="122"/>
      <c r="F50" s="123">
        <f t="shared" si="8"/>
        <v>0</v>
      </c>
      <c r="G50" s="118">
        <f>'4. Policy Interactive Screen'!D59/100</f>
        <v>0</v>
      </c>
      <c r="H50" s="119"/>
      <c r="I50" s="313">
        <f>'4. Policy Interactive Screen'!G59/100</f>
        <v>0</v>
      </c>
      <c r="J50" s="326">
        <f>'4. Policy Interactive Screen'!J59/100</f>
        <v>0</v>
      </c>
      <c r="K50" s="326">
        <f>'4. Policy Interactive Screen'!M59/100</f>
        <v>0</v>
      </c>
      <c r="L50" s="314">
        <f t="shared" si="9"/>
        <v>0.4</v>
      </c>
      <c r="M50" s="314">
        <f t="shared" si="9"/>
        <v>0.5</v>
      </c>
      <c r="N50" s="314">
        <f t="shared" si="9"/>
        <v>0.6</v>
      </c>
      <c r="O50" s="314">
        <f t="shared" si="9"/>
        <v>0.7</v>
      </c>
      <c r="P50" s="314">
        <f t="shared" si="9"/>
        <v>0.8</v>
      </c>
      <c r="Q50" s="314">
        <f t="shared" si="9"/>
        <v>0.9</v>
      </c>
      <c r="R50" s="124">
        <v>1</v>
      </c>
    </row>
    <row r="51" spans="1:18" x14ac:dyDescent="0.4">
      <c r="A51" s="113">
        <v>46</v>
      </c>
      <c r="B51" s="121" t="str">
        <f>IF('3. Intervention Details'!B51="","",'3. Intervention Details'!B51)</f>
        <v/>
      </c>
      <c r="C51" s="109">
        <f>IF('3. Intervention Details'!F51="",0,'3. Intervention Details'!F51)</f>
        <v>0</v>
      </c>
      <c r="D51" s="109">
        <f t="shared" si="7"/>
        <v>0</v>
      </c>
      <c r="E51" s="122"/>
      <c r="F51" s="123">
        <f t="shared" si="8"/>
        <v>0</v>
      </c>
      <c r="G51" s="118">
        <f>'4. Policy Interactive Screen'!D60/100</f>
        <v>0</v>
      </c>
      <c r="H51" s="119"/>
      <c r="I51" s="313">
        <f>'4. Policy Interactive Screen'!G60/100</f>
        <v>0</v>
      </c>
      <c r="J51" s="326">
        <f>'4. Policy Interactive Screen'!J60/100</f>
        <v>0</v>
      </c>
      <c r="K51" s="326">
        <f>'4. Policy Interactive Screen'!M60/100</f>
        <v>0</v>
      </c>
      <c r="L51" s="314">
        <f t="shared" si="9"/>
        <v>0.4</v>
      </c>
      <c r="M51" s="314">
        <f t="shared" si="9"/>
        <v>0.5</v>
      </c>
      <c r="N51" s="314">
        <f t="shared" si="9"/>
        <v>0.6</v>
      </c>
      <c r="O51" s="314">
        <f t="shared" si="9"/>
        <v>0.7</v>
      </c>
      <c r="P51" s="314">
        <f t="shared" si="9"/>
        <v>0.8</v>
      </c>
      <c r="Q51" s="314">
        <f t="shared" si="9"/>
        <v>0.9</v>
      </c>
      <c r="R51" s="124">
        <v>1</v>
      </c>
    </row>
    <row r="52" spans="1:18" x14ac:dyDescent="0.4">
      <c r="A52" s="113">
        <v>47</v>
      </c>
      <c r="B52" s="121" t="str">
        <f>IF('3. Intervention Details'!B52="","",'3. Intervention Details'!B52)</f>
        <v/>
      </c>
      <c r="C52" s="109">
        <f>IF('3. Intervention Details'!F52="",0,'3. Intervention Details'!F52)</f>
        <v>0</v>
      </c>
      <c r="D52" s="109">
        <f t="shared" si="7"/>
        <v>0</v>
      </c>
      <c r="E52" s="122"/>
      <c r="F52" s="123">
        <f t="shared" si="8"/>
        <v>0</v>
      </c>
      <c r="G52" s="118">
        <f>'4. Policy Interactive Screen'!D61/100</f>
        <v>0</v>
      </c>
      <c r="H52" s="119"/>
      <c r="I52" s="313">
        <f>'4. Policy Interactive Screen'!G61/100</f>
        <v>0</v>
      </c>
      <c r="J52" s="326">
        <f>'4. Policy Interactive Screen'!J61/100</f>
        <v>0</v>
      </c>
      <c r="K52" s="326">
        <f>'4. Policy Interactive Screen'!M61/100</f>
        <v>0</v>
      </c>
      <c r="L52" s="314">
        <f t="shared" si="9"/>
        <v>0.4</v>
      </c>
      <c r="M52" s="314">
        <f t="shared" si="9"/>
        <v>0.5</v>
      </c>
      <c r="N52" s="314">
        <f t="shared" si="9"/>
        <v>0.6</v>
      </c>
      <c r="O52" s="314">
        <f t="shared" si="9"/>
        <v>0.7</v>
      </c>
      <c r="P52" s="314">
        <f t="shared" si="9"/>
        <v>0.8</v>
      </c>
      <c r="Q52" s="314">
        <f t="shared" si="9"/>
        <v>0.9</v>
      </c>
      <c r="R52" s="124">
        <v>1</v>
      </c>
    </row>
    <row r="53" spans="1:18" x14ac:dyDescent="0.4">
      <c r="A53" s="113">
        <v>48</v>
      </c>
      <c r="B53" s="121" t="str">
        <f>IF('3. Intervention Details'!B53="","",'3. Intervention Details'!B53)</f>
        <v/>
      </c>
      <c r="C53" s="109">
        <f>IF('3. Intervention Details'!F53="",0,'3. Intervention Details'!F53)</f>
        <v>0</v>
      </c>
      <c r="D53" s="109">
        <f t="shared" si="7"/>
        <v>0</v>
      </c>
      <c r="E53" s="122"/>
      <c r="F53" s="123">
        <f t="shared" si="8"/>
        <v>0</v>
      </c>
      <c r="G53" s="118">
        <f>'4. Policy Interactive Screen'!D62/100</f>
        <v>0</v>
      </c>
      <c r="H53" s="119"/>
      <c r="I53" s="313">
        <f>'4. Policy Interactive Screen'!G62/100</f>
        <v>0</v>
      </c>
      <c r="J53" s="326">
        <f>'4. Policy Interactive Screen'!J62/100</f>
        <v>0</v>
      </c>
      <c r="K53" s="326">
        <f>'4. Policy Interactive Screen'!M62/100</f>
        <v>0</v>
      </c>
      <c r="L53" s="314">
        <f t="shared" si="9"/>
        <v>0.4</v>
      </c>
      <c r="M53" s="314">
        <f t="shared" si="9"/>
        <v>0.5</v>
      </c>
      <c r="N53" s="314">
        <f t="shared" si="9"/>
        <v>0.6</v>
      </c>
      <c r="O53" s="314">
        <f t="shared" si="9"/>
        <v>0.7</v>
      </c>
      <c r="P53" s="314">
        <f t="shared" si="9"/>
        <v>0.8</v>
      </c>
      <c r="Q53" s="314">
        <f t="shared" si="9"/>
        <v>0.9</v>
      </c>
      <c r="R53" s="124">
        <v>1</v>
      </c>
    </row>
    <row r="54" spans="1:18" x14ac:dyDescent="0.4">
      <c r="A54" s="113">
        <v>49</v>
      </c>
      <c r="B54" s="121" t="str">
        <f>IF('3. Intervention Details'!B54="","",'3. Intervention Details'!B54)</f>
        <v/>
      </c>
      <c r="C54" s="109">
        <f>IF('3. Intervention Details'!F54="",0,'3. Intervention Details'!F54)</f>
        <v>0</v>
      </c>
      <c r="D54" s="109">
        <f t="shared" si="7"/>
        <v>0</v>
      </c>
      <c r="E54" s="122"/>
      <c r="F54" s="123">
        <f t="shared" si="8"/>
        <v>0</v>
      </c>
      <c r="G54" s="118">
        <f>'4. Policy Interactive Screen'!D63/100</f>
        <v>0</v>
      </c>
      <c r="H54" s="119"/>
      <c r="I54" s="313">
        <f>'4. Policy Interactive Screen'!G63/100</f>
        <v>0</v>
      </c>
      <c r="J54" s="326">
        <f>'4. Policy Interactive Screen'!J63/100</f>
        <v>0</v>
      </c>
      <c r="K54" s="326">
        <f>'4. Policy Interactive Screen'!M63/100</f>
        <v>0</v>
      </c>
      <c r="L54" s="314">
        <f t="shared" si="9"/>
        <v>0.4</v>
      </c>
      <c r="M54" s="314">
        <f t="shared" si="9"/>
        <v>0.5</v>
      </c>
      <c r="N54" s="314">
        <f t="shared" si="9"/>
        <v>0.6</v>
      </c>
      <c r="O54" s="314">
        <f t="shared" si="9"/>
        <v>0.7</v>
      </c>
      <c r="P54" s="314">
        <f t="shared" si="9"/>
        <v>0.8</v>
      </c>
      <c r="Q54" s="314">
        <f t="shared" si="9"/>
        <v>0.9</v>
      </c>
      <c r="R54" s="124">
        <v>1</v>
      </c>
    </row>
    <row r="55" spans="1:18" x14ac:dyDescent="0.4">
      <c r="A55" s="113">
        <v>50</v>
      </c>
      <c r="B55" s="121" t="str">
        <f>IF('3. Intervention Details'!B55="","",'3. Intervention Details'!B55)</f>
        <v/>
      </c>
      <c r="C55" s="109">
        <f>IF('3. Intervention Details'!F55="",0,'3. Intervention Details'!F55)</f>
        <v>0</v>
      </c>
      <c r="D55" s="109">
        <f t="shared" si="7"/>
        <v>0</v>
      </c>
      <c r="E55" s="122"/>
      <c r="F55" s="123">
        <f t="shared" si="8"/>
        <v>0</v>
      </c>
      <c r="G55" s="118">
        <f>'4. Policy Interactive Screen'!D64/100</f>
        <v>0</v>
      </c>
      <c r="H55" s="119"/>
      <c r="I55" s="313">
        <f>'4. Policy Interactive Screen'!G64/100</f>
        <v>0</v>
      </c>
      <c r="J55" s="326">
        <f>'4. Policy Interactive Screen'!J64/100</f>
        <v>0</v>
      </c>
      <c r="K55" s="326">
        <f>'4. Policy Interactive Screen'!M64/100</f>
        <v>0</v>
      </c>
      <c r="L55" s="314">
        <f t="shared" si="9"/>
        <v>0.4</v>
      </c>
      <c r="M55" s="314">
        <f t="shared" si="9"/>
        <v>0.5</v>
      </c>
      <c r="N55" s="314">
        <f t="shared" si="9"/>
        <v>0.6</v>
      </c>
      <c r="O55" s="314">
        <f t="shared" si="9"/>
        <v>0.7</v>
      </c>
      <c r="P55" s="314">
        <f t="shared" si="9"/>
        <v>0.8</v>
      </c>
      <c r="Q55" s="314">
        <f t="shared" si="9"/>
        <v>0.9</v>
      </c>
      <c r="R55" s="124">
        <v>1</v>
      </c>
    </row>
    <row r="56" spans="1:18" x14ac:dyDescent="0.4">
      <c r="A56" s="113">
        <v>51</v>
      </c>
      <c r="B56" s="121" t="str">
        <f>IF('3. Intervention Details'!B56="","",'3. Intervention Details'!B56)</f>
        <v/>
      </c>
      <c r="C56" s="109">
        <f>IF('3. Intervention Details'!F56="",0,'3. Intervention Details'!F56)</f>
        <v>0</v>
      </c>
      <c r="D56" s="109">
        <f t="shared" si="7"/>
        <v>0</v>
      </c>
      <c r="E56" s="122"/>
      <c r="F56" s="123">
        <f t="shared" si="8"/>
        <v>0</v>
      </c>
      <c r="G56" s="118">
        <f>'4. Policy Interactive Screen'!D65/100</f>
        <v>0</v>
      </c>
      <c r="H56" s="119"/>
      <c r="I56" s="313">
        <f>'4. Policy Interactive Screen'!G65/100</f>
        <v>0</v>
      </c>
      <c r="J56" s="326">
        <f>'4. Policy Interactive Screen'!J65/100</f>
        <v>0</v>
      </c>
      <c r="K56" s="326">
        <f>'4. Policy Interactive Screen'!M65/100</f>
        <v>0</v>
      </c>
      <c r="L56" s="314">
        <f t="shared" ref="L56:Q65" si="10">$G56+(L$4-baseline_year)*($R56-$G56)/($R$4-baseline_year)</f>
        <v>0.4</v>
      </c>
      <c r="M56" s="314">
        <f t="shared" si="10"/>
        <v>0.5</v>
      </c>
      <c r="N56" s="314">
        <f t="shared" si="10"/>
        <v>0.6</v>
      </c>
      <c r="O56" s="314">
        <f t="shared" si="10"/>
        <v>0.7</v>
      </c>
      <c r="P56" s="314">
        <f t="shared" si="10"/>
        <v>0.8</v>
      </c>
      <c r="Q56" s="314">
        <f t="shared" si="10"/>
        <v>0.9</v>
      </c>
      <c r="R56" s="124">
        <v>1</v>
      </c>
    </row>
    <row r="57" spans="1:18" x14ac:dyDescent="0.4">
      <c r="A57" s="113">
        <v>52</v>
      </c>
      <c r="B57" s="121" t="str">
        <f>IF('3. Intervention Details'!B57="","",'3. Intervention Details'!B57)</f>
        <v/>
      </c>
      <c r="C57" s="109">
        <f>IF('3. Intervention Details'!F57="",0,'3. Intervention Details'!F57)</f>
        <v>0</v>
      </c>
      <c r="D57" s="109">
        <f t="shared" si="7"/>
        <v>0</v>
      </c>
      <c r="E57" s="122"/>
      <c r="F57" s="123">
        <f t="shared" si="8"/>
        <v>0</v>
      </c>
      <c r="G57" s="118">
        <f>'4. Policy Interactive Screen'!D66/100</f>
        <v>0</v>
      </c>
      <c r="H57" s="119"/>
      <c r="I57" s="313">
        <f>'4. Policy Interactive Screen'!G66/100</f>
        <v>0</v>
      </c>
      <c r="J57" s="326">
        <f>'4. Policy Interactive Screen'!J66/100</f>
        <v>0</v>
      </c>
      <c r="K57" s="326">
        <f>'4. Policy Interactive Screen'!M66/100</f>
        <v>0</v>
      </c>
      <c r="L57" s="314">
        <f t="shared" si="10"/>
        <v>0.4</v>
      </c>
      <c r="M57" s="314">
        <f t="shared" si="10"/>
        <v>0.5</v>
      </c>
      <c r="N57" s="314">
        <f t="shared" si="10"/>
        <v>0.6</v>
      </c>
      <c r="O57" s="314">
        <f t="shared" si="10"/>
        <v>0.7</v>
      </c>
      <c r="P57" s="314">
        <f t="shared" si="10"/>
        <v>0.8</v>
      </c>
      <c r="Q57" s="314">
        <f t="shared" si="10"/>
        <v>0.9</v>
      </c>
      <c r="R57" s="124">
        <v>1</v>
      </c>
    </row>
    <row r="58" spans="1:18" x14ac:dyDescent="0.4">
      <c r="A58" s="113">
        <v>53</v>
      </c>
      <c r="B58" s="121" t="str">
        <f>IF('3. Intervention Details'!B58="","",'3. Intervention Details'!B58)</f>
        <v/>
      </c>
      <c r="C58" s="109">
        <f>IF('3. Intervention Details'!F58="",0,'3. Intervention Details'!F58)</f>
        <v>0</v>
      </c>
      <c r="D58" s="109">
        <f t="shared" si="7"/>
        <v>0</v>
      </c>
      <c r="E58" s="122"/>
      <c r="F58" s="123">
        <f t="shared" si="8"/>
        <v>0</v>
      </c>
      <c r="G58" s="118">
        <f>'4. Policy Interactive Screen'!D67/100</f>
        <v>0</v>
      </c>
      <c r="H58" s="119"/>
      <c r="I58" s="313">
        <f>'4. Policy Interactive Screen'!G67/100</f>
        <v>0</v>
      </c>
      <c r="J58" s="326">
        <f>'4. Policy Interactive Screen'!J67/100</f>
        <v>0</v>
      </c>
      <c r="K58" s="326">
        <f>'4. Policy Interactive Screen'!M67/100</f>
        <v>0</v>
      </c>
      <c r="L58" s="314">
        <f t="shared" si="10"/>
        <v>0.4</v>
      </c>
      <c r="M58" s="314">
        <f t="shared" si="10"/>
        <v>0.5</v>
      </c>
      <c r="N58" s="314">
        <f t="shared" si="10"/>
        <v>0.6</v>
      </c>
      <c r="O58" s="314">
        <f t="shared" si="10"/>
        <v>0.7</v>
      </c>
      <c r="P58" s="314">
        <f t="shared" si="10"/>
        <v>0.8</v>
      </c>
      <c r="Q58" s="314">
        <f t="shared" si="10"/>
        <v>0.9</v>
      </c>
      <c r="R58" s="124">
        <v>1</v>
      </c>
    </row>
    <row r="59" spans="1:18" x14ac:dyDescent="0.4">
      <c r="A59" s="113">
        <v>54</v>
      </c>
      <c r="B59" s="121" t="str">
        <f>IF('3. Intervention Details'!B59="","",'3. Intervention Details'!B59)</f>
        <v/>
      </c>
      <c r="C59" s="109">
        <f>IF('3. Intervention Details'!F59="",0,'3. Intervention Details'!F59)</f>
        <v>0</v>
      </c>
      <c r="D59" s="109">
        <f t="shared" si="7"/>
        <v>0</v>
      </c>
      <c r="E59" s="122"/>
      <c r="F59" s="123">
        <f t="shared" si="8"/>
        <v>0</v>
      </c>
      <c r="G59" s="118">
        <f>'4. Policy Interactive Screen'!D68/100</f>
        <v>0</v>
      </c>
      <c r="H59" s="119"/>
      <c r="I59" s="313">
        <f>'4. Policy Interactive Screen'!G68/100</f>
        <v>0</v>
      </c>
      <c r="J59" s="326">
        <f>'4. Policy Interactive Screen'!J68/100</f>
        <v>0</v>
      </c>
      <c r="K59" s="326">
        <f>'4. Policy Interactive Screen'!M68/100</f>
        <v>0</v>
      </c>
      <c r="L59" s="314">
        <f t="shared" si="10"/>
        <v>0.4</v>
      </c>
      <c r="M59" s="314">
        <f t="shared" si="10"/>
        <v>0.5</v>
      </c>
      <c r="N59" s="314">
        <f t="shared" si="10"/>
        <v>0.6</v>
      </c>
      <c r="O59" s="314">
        <f t="shared" si="10"/>
        <v>0.7</v>
      </c>
      <c r="P59" s="314">
        <f t="shared" si="10"/>
        <v>0.8</v>
      </c>
      <c r="Q59" s="314">
        <f t="shared" si="10"/>
        <v>0.9</v>
      </c>
      <c r="R59" s="124">
        <v>1</v>
      </c>
    </row>
    <row r="60" spans="1:18" x14ac:dyDescent="0.4">
      <c r="A60" s="113">
        <v>55</v>
      </c>
      <c r="B60" s="121" t="str">
        <f>IF('3. Intervention Details'!B60="","",'3. Intervention Details'!B60)</f>
        <v/>
      </c>
      <c r="C60" s="109">
        <f>IF('3. Intervention Details'!F60="",0,'3. Intervention Details'!F60)</f>
        <v>0</v>
      </c>
      <c r="D60" s="109">
        <f t="shared" si="7"/>
        <v>0</v>
      </c>
      <c r="E60" s="122"/>
      <c r="F60" s="123">
        <f t="shared" si="8"/>
        <v>0</v>
      </c>
      <c r="G60" s="118">
        <f>'4. Policy Interactive Screen'!D69/100</f>
        <v>0</v>
      </c>
      <c r="H60" s="119"/>
      <c r="I60" s="313">
        <f>'4. Policy Interactive Screen'!G69/100</f>
        <v>0</v>
      </c>
      <c r="J60" s="326">
        <f>'4. Policy Interactive Screen'!J69/100</f>
        <v>0</v>
      </c>
      <c r="K60" s="326">
        <f>'4. Policy Interactive Screen'!M69/100</f>
        <v>0</v>
      </c>
      <c r="L60" s="314">
        <f t="shared" si="10"/>
        <v>0.4</v>
      </c>
      <c r="M60" s="314">
        <f t="shared" si="10"/>
        <v>0.5</v>
      </c>
      <c r="N60" s="314">
        <f t="shared" si="10"/>
        <v>0.6</v>
      </c>
      <c r="O60" s="314">
        <f t="shared" si="10"/>
        <v>0.7</v>
      </c>
      <c r="P60" s="314">
        <f t="shared" si="10"/>
        <v>0.8</v>
      </c>
      <c r="Q60" s="314">
        <f t="shared" si="10"/>
        <v>0.9</v>
      </c>
      <c r="R60" s="124">
        <v>1</v>
      </c>
    </row>
    <row r="61" spans="1:18" x14ac:dyDescent="0.4">
      <c r="A61" s="113">
        <v>56</v>
      </c>
      <c r="B61" s="121" t="str">
        <f>IF('3. Intervention Details'!B61="","",'3. Intervention Details'!B61)</f>
        <v/>
      </c>
      <c r="C61" s="109">
        <f>IF('3. Intervention Details'!F61="",0,'3. Intervention Details'!F61)</f>
        <v>0</v>
      </c>
      <c r="D61" s="109">
        <f t="shared" si="7"/>
        <v>0</v>
      </c>
      <c r="E61" s="122"/>
      <c r="F61" s="123">
        <f t="shared" si="8"/>
        <v>0</v>
      </c>
      <c r="G61" s="118">
        <f>'4. Policy Interactive Screen'!D70/100</f>
        <v>0</v>
      </c>
      <c r="H61" s="119"/>
      <c r="I61" s="313">
        <f>'4. Policy Interactive Screen'!G70/100</f>
        <v>0</v>
      </c>
      <c r="J61" s="326">
        <f>'4. Policy Interactive Screen'!J70/100</f>
        <v>0</v>
      </c>
      <c r="K61" s="326">
        <f>'4. Policy Interactive Screen'!M70/100</f>
        <v>0</v>
      </c>
      <c r="L61" s="314">
        <f t="shared" si="10"/>
        <v>0.4</v>
      </c>
      <c r="M61" s="314">
        <f t="shared" si="10"/>
        <v>0.5</v>
      </c>
      <c r="N61" s="314">
        <f t="shared" si="10"/>
        <v>0.6</v>
      </c>
      <c r="O61" s="314">
        <f t="shared" si="10"/>
        <v>0.7</v>
      </c>
      <c r="P61" s="314">
        <f t="shared" si="10"/>
        <v>0.8</v>
      </c>
      <c r="Q61" s="314">
        <f t="shared" si="10"/>
        <v>0.9</v>
      </c>
      <c r="R61" s="124">
        <v>1</v>
      </c>
    </row>
    <row r="62" spans="1:18" x14ac:dyDescent="0.4">
      <c r="A62" s="113">
        <v>57</v>
      </c>
      <c r="B62" s="121" t="str">
        <f>IF('3. Intervention Details'!B62="","",'3. Intervention Details'!B62)</f>
        <v/>
      </c>
      <c r="C62" s="109">
        <f>IF('3. Intervention Details'!F62="",0,'3. Intervention Details'!F62)</f>
        <v>0</v>
      </c>
      <c r="D62" s="109">
        <f t="shared" si="7"/>
        <v>0</v>
      </c>
      <c r="E62" s="122"/>
      <c r="F62" s="123">
        <f t="shared" si="8"/>
        <v>0</v>
      </c>
      <c r="G62" s="118">
        <f>'4. Policy Interactive Screen'!D71/100</f>
        <v>0</v>
      </c>
      <c r="H62" s="119"/>
      <c r="I62" s="313">
        <f>'4. Policy Interactive Screen'!G71/100</f>
        <v>0</v>
      </c>
      <c r="J62" s="326">
        <f>'4. Policy Interactive Screen'!J71/100</f>
        <v>0</v>
      </c>
      <c r="K62" s="326">
        <f>'4. Policy Interactive Screen'!M71/100</f>
        <v>0</v>
      </c>
      <c r="L62" s="314">
        <f t="shared" si="10"/>
        <v>0.4</v>
      </c>
      <c r="M62" s="314">
        <f t="shared" si="10"/>
        <v>0.5</v>
      </c>
      <c r="N62" s="314">
        <f t="shared" si="10"/>
        <v>0.6</v>
      </c>
      <c r="O62" s="314">
        <f t="shared" si="10"/>
        <v>0.7</v>
      </c>
      <c r="P62" s="314">
        <f t="shared" si="10"/>
        <v>0.8</v>
      </c>
      <c r="Q62" s="314">
        <f t="shared" si="10"/>
        <v>0.9</v>
      </c>
      <c r="R62" s="124">
        <v>1</v>
      </c>
    </row>
    <row r="63" spans="1:18" x14ac:dyDescent="0.4">
      <c r="A63" s="113">
        <v>58</v>
      </c>
      <c r="B63" s="121" t="str">
        <f>IF('3. Intervention Details'!B63="","",'3. Intervention Details'!B63)</f>
        <v/>
      </c>
      <c r="C63" s="109">
        <f>IF('3. Intervention Details'!F63="",0,'3. Intervention Details'!F63)</f>
        <v>0</v>
      </c>
      <c r="D63" s="109">
        <f t="shared" si="7"/>
        <v>0</v>
      </c>
      <c r="E63" s="122"/>
      <c r="F63" s="123">
        <f t="shared" si="8"/>
        <v>0</v>
      </c>
      <c r="G63" s="118">
        <f>'4. Policy Interactive Screen'!D72/100</f>
        <v>0</v>
      </c>
      <c r="H63" s="119"/>
      <c r="I63" s="313">
        <f>'4. Policy Interactive Screen'!G72/100</f>
        <v>0</v>
      </c>
      <c r="J63" s="326">
        <f>'4. Policy Interactive Screen'!J72/100</f>
        <v>0</v>
      </c>
      <c r="K63" s="326">
        <f>'4. Policy Interactive Screen'!M72/100</f>
        <v>0</v>
      </c>
      <c r="L63" s="314">
        <f t="shared" si="10"/>
        <v>0.4</v>
      </c>
      <c r="M63" s="314">
        <f t="shared" si="10"/>
        <v>0.5</v>
      </c>
      <c r="N63" s="314">
        <f t="shared" si="10"/>
        <v>0.6</v>
      </c>
      <c r="O63" s="314">
        <f t="shared" si="10"/>
        <v>0.7</v>
      </c>
      <c r="P63" s="314">
        <f t="shared" si="10"/>
        <v>0.8</v>
      </c>
      <c r="Q63" s="314">
        <f t="shared" si="10"/>
        <v>0.9</v>
      </c>
      <c r="R63" s="124">
        <v>1</v>
      </c>
    </row>
    <row r="64" spans="1:18" x14ac:dyDescent="0.4">
      <c r="A64" s="113">
        <v>59</v>
      </c>
      <c r="B64" s="121" t="str">
        <f>IF('3. Intervention Details'!B64="","",'3. Intervention Details'!B64)</f>
        <v/>
      </c>
      <c r="C64" s="109">
        <f>IF('3. Intervention Details'!F64="",0,'3. Intervention Details'!F64)</f>
        <v>0</v>
      </c>
      <c r="D64" s="109">
        <f t="shared" si="7"/>
        <v>0</v>
      </c>
      <c r="E64" s="122"/>
      <c r="F64" s="123">
        <f t="shared" si="8"/>
        <v>0</v>
      </c>
      <c r="G64" s="118">
        <f>'4. Policy Interactive Screen'!D73/100</f>
        <v>0</v>
      </c>
      <c r="H64" s="119"/>
      <c r="I64" s="313">
        <f>'4. Policy Interactive Screen'!G73/100</f>
        <v>0</v>
      </c>
      <c r="J64" s="326">
        <f>'4. Policy Interactive Screen'!J73/100</f>
        <v>0</v>
      </c>
      <c r="K64" s="326">
        <f>'4. Policy Interactive Screen'!M73/100</f>
        <v>0</v>
      </c>
      <c r="L64" s="314">
        <f t="shared" si="10"/>
        <v>0.4</v>
      </c>
      <c r="M64" s="314">
        <f t="shared" si="10"/>
        <v>0.5</v>
      </c>
      <c r="N64" s="314">
        <f t="shared" si="10"/>
        <v>0.6</v>
      </c>
      <c r="O64" s="314">
        <f t="shared" si="10"/>
        <v>0.7</v>
      </c>
      <c r="P64" s="314">
        <f t="shared" si="10"/>
        <v>0.8</v>
      </c>
      <c r="Q64" s="314">
        <f t="shared" si="10"/>
        <v>0.9</v>
      </c>
      <c r="R64" s="124">
        <v>1</v>
      </c>
    </row>
    <row r="65" spans="1:18" x14ac:dyDescent="0.4">
      <c r="A65" s="113">
        <v>60</v>
      </c>
      <c r="B65" s="121" t="str">
        <f>IF('3. Intervention Details'!B65="","",'3. Intervention Details'!B65)</f>
        <v/>
      </c>
      <c r="C65" s="109">
        <f>IF('3. Intervention Details'!F65="",0,'3. Intervention Details'!F65)</f>
        <v>0</v>
      </c>
      <c r="D65" s="109">
        <f t="shared" si="7"/>
        <v>0</v>
      </c>
      <c r="E65" s="122"/>
      <c r="F65" s="123">
        <f t="shared" si="8"/>
        <v>0</v>
      </c>
      <c r="G65" s="118">
        <f>'4. Policy Interactive Screen'!D74/100</f>
        <v>0</v>
      </c>
      <c r="H65" s="119"/>
      <c r="I65" s="313">
        <f>'4. Policy Interactive Screen'!G74/100</f>
        <v>0</v>
      </c>
      <c r="J65" s="326">
        <f>'4. Policy Interactive Screen'!J74/100</f>
        <v>0</v>
      </c>
      <c r="K65" s="326">
        <f>'4. Policy Interactive Screen'!M74/100</f>
        <v>0</v>
      </c>
      <c r="L65" s="314">
        <f t="shared" si="10"/>
        <v>0.4</v>
      </c>
      <c r="M65" s="314">
        <f t="shared" si="10"/>
        <v>0.5</v>
      </c>
      <c r="N65" s="314">
        <f t="shared" si="10"/>
        <v>0.6</v>
      </c>
      <c r="O65" s="314">
        <f t="shared" si="10"/>
        <v>0.7</v>
      </c>
      <c r="P65" s="314">
        <f t="shared" si="10"/>
        <v>0.8</v>
      </c>
      <c r="Q65" s="314">
        <f t="shared" si="10"/>
        <v>0.9</v>
      </c>
      <c r="R65" s="124">
        <v>1</v>
      </c>
    </row>
    <row r="66" spans="1:18" x14ac:dyDescent="0.4">
      <c r="A66" s="113">
        <v>61</v>
      </c>
      <c r="B66" s="121" t="str">
        <f>IF('3. Intervention Details'!B66="","",'3. Intervention Details'!B66)</f>
        <v/>
      </c>
      <c r="C66" s="109">
        <f>IF('3. Intervention Details'!F66="",0,'3. Intervention Details'!F66)</f>
        <v>0</v>
      </c>
      <c r="D66" s="109">
        <f t="shared" si="7"/>
        <v>0</v>
      </c>
      <c r="E66" s="122"/>
      <c r="F66" s="123">
        <f t="shared" si="8"/>
        <v>0</v>
      </c>
      <c r="G66" s="118">
        <f>'4. Policy Interactive Screen'!D75/100</f>
        <v>0</v>
      </c>
      <c r="H66" s="119"/>
      <c r="I66" s="313">
        <f>'4. Policy Interactive Screen'!G75/100</f>
        <v>0</v>
      </c>
      <c r="J66" s="326">
        <f>'4. Policy Interactive Screen'!J75/100</f>
        <v>0</v>
      </c>
      <c r="K66" s="326">
        <f>'4. Policy Interactive Screen'!M75/100</f>
        <v>0</v>
      </c>
      <c r="L66" s="314">
        <f t="shared" ref="L66:Q75" si="11">$G66+(L$4-baseline_year)*($R66-$G66)/($R$4-baseline_year)</f>
        <v>0.4</v>
      </c>
      <c r="M66" s="314">
        <f t="shared" si="11"/>
        <v>0.5</v>
      </c>
      <c r="N66" s="314">
        <f t="shared" si="11"/>
        <v>0.6</v>
      </c>
      <c r="O66" s="314">
        <f t="shared" si="11"/>
        <v>0.7</v>
      </c>
      <c r="P66" s="314">
        <f t="shared" si="11"/>
        <v>0.8</v>
      </c>
      <c r="Q66" s="314">
        <f t="shared" si="11"/>
        <v>0.9</v>
      </c>
      <c r="R66" s="124">
        <v>1</v>
      </c>
    </row>
    <row r="67" spans="1:18" x14ac:dyDescent="0.4">
      <c r="A67" s="113">
        <v>62</v>
      </c>
      <c r="B67" s="121" t="str">
        <f>IF('3. Intervention Details'!B67="","",'3. Intervention Details'!B67)</f>
        <v/>
      </c>
      <c r="C67" s="109">
        <f>IF('3. Intervention Details'!F67="",0,'3. Intervention Details'!F67)</f>
        <v>0</v>
      </c>
      <c r="D67" s="109">
        <f t="shared" si="7"/>
        <v>0</v>
      </c>
      <c r="E67" s="122"/>
      <c r="F67" s="123">
        <f t="shared" si="8"/>
        <v>0</v>
      </c>
      <c r="G67" s="118">
        <f>'4. Policy Interactive Screen'!D76/100</f>
        <v>0</v>
      </c>
      <c r="H67" s="119"/>
      <c r="I67" s="313">
        <f>'4. Policy Interactive Screen'!G76/100</f>
        <v>0</v>
      </c>
      <c r="J67" s="326">
        <f>'4. Policy Interactive Screen'!J76/100</f>
        <v>0</v>
      </c>
      <c r="K67" s="326">
        <f>'4. Policy Interactive Screen'!M76/100</f>
        <v>0</v>
      </c>
      <c r="L67" s="314">
        <f t="shared" si="11"/>
        <v>0.4</v>
      </c>
      <c r="M67" s="314">
        <f t="shared" si="11"/>
        <v>0.5</v>
      </c>
      <c r="N67" s="314">
        <f t="shared" si="11"/>
        <v>0.6</v>
      </c>
      <c r="O67" s="314">
        <f t="shared" si="11"/>
        <v>0.7</v>
      </c>
      <c r="P67" s="314">
        <f t="shared" si="11"/>
        <v>0.8</v>
      </c>
      <c r="Q67" s="314">
        <f t="shared" si="11"/>
        <v>0.9</v>
      </c>
      <c r="R67" s="124">
        <v>1</v>
      </c>
    </row>
    <row r="68" spans="1:18" x14ac:dyDescent="0.4">
      <c r="A68" s="113">
        <v>63</v>
      </c>
      <c r="B68" s="121" t="str">
        <f>IF('3. Intervention Details'!B68="","",'3. Intervention Details'!B68)</f>
        <v/>
      </c>
      <c r="C68" s="109">
        <f>IF('3. Intervention Details'!F68="",0,'3. Intervention Details'!F68)</f>
        <v>0</v>
      </c>
      <c r="D68" s="109">
        <f t="shared" si="7"/>
        <v>0</v>
      </c>
      <c r="E68" s="122"/>
      <c r="F68" s="123">
        <f t="shared" si="8"/>
        <v>0</v>
      </c>
      <c r="G68" s="118">
        <f>'4. Policy Interactive Screen'!D77/100</f>
        <v>0</v>
      </c>
      <c r="H68" s="119"/>
      <c r="I68" s="313">
        <f>'4. Policy Interactive Screen'!G77/100</f>
        <v>0</v>
      </c>
      <c r="J68" s="326">
        <f>'4. Policy Interactive Screen'!J77/100</f>
        <v>0</v>
      </c>
      <c r="K68" s="326">
        <f>'4. Policy Interactive Screen'!M77/100</f>
        <v>0</v>
      </c>
      <c r="L68" s="314">
        <f t="shared" si="11"/>
        <v>0.4</v>
      </c>
      <c r="M68" s="314">
        <f t="shared" si="11"/>
        <v>0.5</v>
      </c>
      <c r="N68" s="314">
        <f t="shared" si="11"/>
        <v>0.6</v>
      </c>
      <c r="O68" s="314">
        <f t="shared" si="11"/>
        <v>0.7</v>
      </c>
      <c r="P68" s="314">
        <f t="shared" si="11"/>
        <v>0.8</v>
      </c>
      <c r="Q68" s="314">
        <f t="shared" si="11"/>
        <v>0.9</v>
      </c>
      <c r="R68" s="124">
        <v>1</v>
      </c>
    </row>
    <row r="69" spans="1:18" x14ac:dyDescent="0.4">
      <c r="A69" s="113">
        <v>64</v>
      </c>
      <c r="B69" s="121" t="str">
        <f>IF('3. Intervention Details'!B69="","",'3. Intervention Details'!B69)</f>
        <v/>
      </c>
      <c r="C69" s="109">
        <f>IF('3. Intervention Details'!F69="",0,'3. Intervention Details'!F69)</f>
        <v>0</v>
      </c>
      <c r="D69" s="109">
        <f t="shared" si="7"/>
        <v>0</v>
      </c>
      <c r="E69" s="122"/>
      <c r="F69" s="123">
        <f t="shared" si="8"/>
        <v>0</v>
      </c>
      <c r="G69" s="118">
        <f>'4. Policy Interactive Screen'!D78/100</f>
        <v>0</v>
      </c>
      <c r="H69" s="119"/>
      <c r="I69" s="313">
        <f>'4. Policy Interactive Screen'!G78/100</f>
        <v>0</v>
      </c>
      <c r="J69" s="326">
        <f>'4. Policy Interactive Screen'!J78/100</f>
        <v>0</v>
      </c>
      <c r="K69" s="326">
        <f>'4. Policy Interactive Screen'!M78/100</f>
        <v>0</v>
      </c>
      <c r="L69" s="314">
        <f t="shared" si="11"/>
        <v>0.4</v>
      </c>
      <c r="M69" s="314">
        <f t="shared" si="11"/>
        <v>0.5</v>
      </c>
      <c r="N69" s="314">
        <f t="shared" si="11"/>
        <v>0.6</v>
      </c>
      <c r="O69" s="314">
        <f t="shared" si="11"/>
        <v>0.7</v>
      </c>
      <c r="P69" s="314">
        <f t="shared" si="11"/>
        <v>0.8</v>
      </c>
      <c r="Q69" s="314">
        <f t="shared" si="11"/>
        <v>0.9</v>
      </c>
      <c r="R69" s="124">
        <v>1</v>
      </c>
    </row>
    <row r="70" spans="1:18" x14ac:dyDescent="0.4">
      <c r="A70" s="113">
        <v>65</v>
      </c>
      <c r="B70" s="121" t="str">
        <f>IF('3. Intervention Details'!B70="","",'3. Intervention Details'!B70)</f>
        <v/>
      </c>
      <c r="C70" s="109">
        <f>IF('3. Intervention Details'!F70="",0,'3. Intervention Details'!F70)</f>
        <v>0</v>
      </c>
      <c r="D70" s="109">
        <f t="shared" ref="D70:D105" si="12">IF(B70="",0,VLOOKUP(B70,lookup_masterlist,3,FALSE))</f>
        <v>0</v>
      </c>
      <c r="E70" s="122"/>
      <c r="F70" s="123">
        <f t="shared" ref="F70:F105" si="13">IF(B70="",0,IF(C70="Urban",(VLOOKUP(D70,lookup_urban,2,FALSE)*VLOOKUP(B70,lookup_masterlist,6,FALSE)),IF(C70="Rural",VLOOKUP(D70,lookup_rural,2,FALSE)*VLOOKUP(B70,lookup_masterlist,6,FALSE),VLOOKUP(D70,lookup_demography,2,FALSE)*VLOOKUP(B70,lookup_masterlist,6,FALSE))))</f>
        <v>0</v>
      </c>
      <c r="G70" s="118">
        <f>'4. Policy Interactive Screen'!D79/100</f>
        <v>0</v>
      </c>
      <c r="H70" s="119"/>
      <c r="I70" s="313">
        <f>'4. Policy Interactive Screen'!G79/100</f>
        <v>0</v>
      </c>
      <c r="J70" s="326">
        <f>'4. Policy Interactive Screen'!J79/100</f>
        <v>0</v>
      </c>
      <c r="K70" s="326">
        <f>'4. Policy Interactive Screen'!M79/100</f>
        <v>0</v>
      </c>
      <c r="L70" s="314">
        <f t="shared" si="11"/>
        <v>0.4</v>
      </c>
      <c r="M70" s="314">
        <f t="shared" si="11"/>
        <v>0.5</v>
      </c>
      <c r="N70" s="314">
        <f t="shared" si="11"/>
        <v>0.6</v>
      </c>
      <c r="O70" s="314">
        <f t="shared" si="11"/>
        <v>0.7</v>
      </c>
      <c r="P70" s="314">
        <f t="shared" si="11"/>
        <v>0.8</v>
      </c>
      <c r="Q70" s="314">
        <f t="shared" si="11"/>
        <v>0.9</v>
      </c>
      <c r="R70" s="124">
        <v>1</v>
      </c>
    </row>
    <row r="71" spans="1:18" x14ac:dyDescent="0.4">
      <c r="A71" s="113">
        <v>66</v>
      </c>
      <c r="B71" s="121" t="str">
        <f>IF('3. Intervention Details'!B71="","",'3. Intervention Details'!B71)</f>
        <v/>
      </c>
      <c r="C71" s="109">
        <f>IF('3. Intervention Details'!F71="",0,'3. Intervention Details'!F71)</f>
        <v>0</v>
      </c>
      <c r="D71" s="109">
        <f t="shared" si="12"/>
        <v>0</v>
      </c>
      <c r="E71" s="122"/>
      <c r="F71" s="123">
        <f t="shared" si="13"/>
        <v>0</v>
      </c>
      <c r="G71" s="118">
        <f>'4. Policy Interactive Screen'!D80/100</f>
        <v>0</v>
      </c>
      <c r="H71" s="119"/>
      <c r="I71" s="313">
        <f>'4. Policy Interactive Screen'!G80/100</f>
        <v>0</v>
      </c>
      <c r="J71" s="326">
        <f>'4. Policy Interactive Screen'!J80/100</f>
        <v>0</v>
      </c>
      <c r="K71" s="326">
        <f>'4. Policy Interactive Screen'!M80/100</f>
        <v>0</v>
      </c>
      <c r="L71" s="314">
        <f t="shared" si="11"/>
        <v>0.4</v>
      </c>
      <c r="M71" s="314">
        <f t="shared" si="11"/>
        <v>0.5</v>
      </c>
      <c r="N71" s="314">
        <f t="shared" si="11"/>
        <v>0.6</v>
      </c>
      <c r="O71" s="314">
        <f t="shared" si="11"/>
        <v>0.7</v>
      </c>
      <c r="P71" s="314">
        <f t="shared" si="11"/>
        <v>0.8</v>
      </c>
      <c r="Q71" s="314">
        <f t="shared" si="11"/>
        <v>0.9</v>
      </c>
      <c r="R71" s="124">
        <v>1</v>
      </c>
    </row>
    <row r="72" spans="1:18" x14ac:dyDescent="0.4">
      <c r="A72" s="113">
        <v>67</v>
      </c>
      <c r="B72" s="121" t="str">
        <f>IF('3. Intervention Details'!B72="","",'3. Intervention Details'!B72)</f>
        <v/>
      </c>
      <c r="C72" s="109">
        <f>IF('3. Intervention Details'!F72="",0,'3. Intervention Details'!F72)</f>
        <v>0</v>
      </c>
      <c r="D72" s="109">
        <f t="shared" si="12"/>
        <v>0</v>
      </c>
      <c r="E72" s="122"/>
      <c r="F72" s="123">
        <f t="shared" si="13"/>
        <v>0</v>
      </c>
      <c r="G72" s="118">
        <f>'4. Policy Interactive Screen'!D81/100</f>
        <v>0</v>
      </c>
      <c r="H72" s="119"/>
      <c r="I72" s="313">
        <f>'4. Policy Interactive Screen'!G81/100</f>
        <v>0</v>
      </c>
      <c r="J72" s="326">
        <f>'4. Policy Interactive Screen'!J81/100</f>
        <v>0</v>
      </c>
      <c r="K72" s="326">
        <f>'4. Policy Interactive Screen'!M81/100</f>
        <v>0</v>
      </c>
      <c r="L72" s="314">
        <f t="shared" si="11"/>
        <v>0.4</v>
      </c>
      <c r="M72" s="314">
        <f t="shared" si="11"/>
        <v>0.5</v>
      </c>
      <c r="N72" s="314">
        <f t="shared" si="11"/>
        <v>0.6</v>
      </c>
      <c r="O72" s="314">
        <f t="shared" si="11"/>
        <v>0.7</v>
      </c>
      <c r="P72" s="314">
        <f t="shared" si="11"/>
        <v>0.8</v>
      </c>
      <c r="Q72" s="314">
        <f t="shared" si="11"/>
        <v>0.9</v>
      </c>
      <c r="R72" s="124">
        <v>1</v>
      </c>
    </row>
    <row r="73" spans="1:18" x14ac:dyDescent="0.4">
      <c r="A73" s="113">
        <v>68</v>
      </c>
      <c r="B73" s="121" t="str">
        <f>IF('3. Intervention Details'!B73="","",'3. Intervention Details'!B73)</f>
        <v/>
      </c>
      <c r="C73" s="109">
        <f>IF('3. Intervention Details'!F73="",0,'3. Intervention Details'!F73)</f>
        <v>0</v>
      </c>
      <c r="D73" s="109">
        <f t="shared" si="12"/>
        <v>0</v>
      </c>
      <c r="E73" s="122"/>
      <c r="F73" s="123">
        <f t="shared" si="13"/>
        <v>0</v>
      </c>
      <c r="G73" s="118">
        <f>'4. Policy Interactive Screen'!D82/100</f>
        <v>0</v>
      </c>
      <c r="H73" s="119"/>
      <c r="I73" s="313">
        <f>'4. Policy Interactive Screen'!G82/100</f>
        <v>0</v>
      </c>
      <c r="J73" s="326">
        <f>'4. Policy Interactive Screen'!J82/100</f>
        <v>0</v>
      </c>
      <c r="K73" s="326">
        <f>'4. Policy Interactive Screen'!M82/100</f>
        <v>0</v>
      </c>
      <c r="L73" s="314">
        <f t="shared" si="11"/>
        <v>0.4</v>
      </c>
      <c r="M73" s="314">
        <f t="shared" si="11"/>
        <v>0.5</v>
      </c>
      <c r="N73" s="314">
        <f t="shared" si="11"/>
        <v>0.6</v>
      </c>
      <c r="O73" s="314">
        <f t="shared" si="11"/>
        <v>0.7</v>
      </c>
      <c r="P73" s="314">
        <f t="shared" si="11"/>
        <v>0.8</v>
      </c>
      <c r="Q73" s="314">
        <f t="shared" si="11"/>
        <v>0.9</v>
      </c>
      <c r="R73" s="124">
        <v>1</v>
      </c>
    </row>
    <row r="74" spans="1:18" x14ac:dyDescent="0.4">
      <c r="A74" s="113">
        <v>69</v>
      </c>
      <c r="B74" s="121" t="str">
        <f>IF('3. Intervention Details'!B74="","",'3. Intervention Details'!B74)</f>
        <v/>
      </c>
      <c r="C74" s="109">
        <f>IF('3. Intervention Details'!F74="",0,'3. Intervention Details'!F74)</f>
        <v>0</v>
      </c>
      <c r="D74" s="109">
        <f t="shared" si="12"/>
        <v>0</v>
      </c>
      <c r="E74" s="122"/>
      <c r="F74" s="123">
        <f t="shared" si="13"/>
        <v>0</v>
      </c>
      <c r="G74" s="118">
        <f>'4. Policy Interactive Screen'!D83/100</f>
        <v>0</v>
      </c>
      <c r="H74" s="119"/>
      <c r="I74" s="313">
        <f>'4. Policy Interactive Screen'!G83/100</f>
        <v>0</v>
      </c>
      <c r="J74" s="326">
        <f>'4. Policy Interactive Screen'!J83/100</f>
        <v>0</v>
      </c>
      <c r="K74" s="326">
        <f>'4. Policy Interactive Screen'!M83/100</f>
        <v>0</v>
      </c>
      <c r="L74" s="314">
        <f t="shared" si="11"/>
        <v>0.4</v>
      </c>
      <c r="M74" s="314">
        <f t="shared" si="11"/>
        <v>0.5</v>
      </c>
      <c r="N74" s="314">
        <f t="shared" si="11"/>
        <v>0.6</v>
      </c>
      <c r="O74" s="314">
        <f t="shared" si="11"/>
        <v>0.7</v>
      </c>
      <c r="P74" s="314">
        <f t="shared" si="11"/>
        <v>0.8</v>
      </c>
      <c r="Q74" s="314">
        <f t="shared" si="11"/>
        <v>0.9</v>
      </c>
      <c r="R74" s="124">
        <v>1</v>
      </c>
    </row>
    <row r="75" spans="1:18" x14ac:dyDescent="0.4">
      <c r="A75" s="113">
        <v>70</v>
      </c>
      <c r="B75" s="121" t="str">
        <f>IF('3. Intervention Details'!B75="","",'3. Intervention Details'!B75)</f>
        <v/>
      </c>
      <c r="C75" s="109">
        <f>IF('3. Intervention Details'!F75="",0,'3. Intervention Details'!F75)</f>
        <v>0</v>
      </c>
      <c r="D75" s="109">
        <f t="shared" si="12"/>
        <v>0</v>
      </c>
      <c r="E75" s="122"/>
      <c r="F75" s="123">
        <f t="shared" si="13"/>
        <v>0</v>
      </c>
      <c r="G75" s="118">
        <f>'4. Policy Interactive Screen'!D84/100</f>
        <v>0</v>
      </c>
      <c r="H75" s="119"/>
      <c r="I75" s="313">
        <f>'4. Policy Interactive Screen'!G84/100</f>
        <v>0</v>
      </c>
      <c r="J75" s="326">
        <f>'4. Policy Interactive Screen'!J84/100</f>
        <v>0</v>
      </c>
      <c r="K75" s="326">
        <f>'4. Policy Interactive Screen'!M84/100</f>
        <v>0</v>
      </c>
      <c r="L75" s="314">
        <f t="shared" si="11"/>
        <v>0.4</v>
      </c>
      <c r="M75" s="314">
        <f t="shared" si="11"/>
        <v>0.5</v>
      </c>
      <c r="N75" s="314">
        <f t="shared" si="11"/>
        <v>0.6</v>
      </c>
      <c r="O75" s="314">
        <f t="shared" si="11"/>
        <v>0.7</v>
      </c>
      <c r="P75" s="314">
        <f t="shared" si="11"/>
        <v>0.8</v>
      </c>
      <c r="Q75" s="314">
        <f t="shared" si="11"/>
        <v>0.9</v>
      </c>
      <c r="R75" s="124">
        <v>1</v>
      </c>
    </row>
    <row r="76" spans="1:18" x14ac:dyDescent="0.4">
      <c r="A76" s="113">
        <v>71</v>
      </c>
      <c r="B76" s="121" t="str">
        <f>IF('3. Intervention Details'!B76="","",'3. Intervention Details'!B76)</f>
        <v/>
      </c>
      <c r="C76" s="109">
        <f>IF('3. Intervention Details'!F76="",0,'3. Intervention Details'!F76)</f>
        <v>0</v>
      </c>
      <c r="D76" s="109">
        <f t="shared" si="12"/>
        <v>0</v>
      </c>
      <c r="E76" s="122"/>
      <c r="F76" s="123">
        <f t="shared" si="13"/>
        <v>0</v>
      </c>
      <c r="G76" s="118">
        <f>'4. Policy Interactive Screen'!D85/100</f>
        <v>0</v>
      </c>
      <c r="H76" s="119"/>
      <c r="I76" s="313">
        <f>'4. Policy Interactive Screen'!G85/100</f>
        <v>0</v>
      </c>
      <c r="J76" s="326">
        <f>'4. Policy Interactive Screen'!J85/100</f>
        <v>0</v>
      </c>
      <c r="K76" s="326">
        <f>'4. Policy Interactive Screen'!M85/100</f>
        <v>0</v>
      </c>
      <c r="L76" s="314">
        <f t="shared" ref="L76:Q85" si="14">$G76+(L$4-baseline_year)*($R76-$G76)/($R$4-baseline_year)</f>
        <v>0.4</v>
      </c>
      <c r="M76" s="314">
        <f t="shared" si="14"/>
        <v>0.5</v>
      </c>
      <c r="N76" s="314">
        <f t="shared" si="14"/>
        <v>0.6</v>
      </c>
      <c r="O76" s="314">
        <f t="shared" si="14"/>
        <v>0.7</v>
      </c>
      <c r="P76" s="314">
        <f t="shared" si="14"/>
        <v>0.8</v>
      </c>
      <c r="Q76" s="314">
        <f t="shared" si="14"/>
        <v>0.9</v>
      </c>
      <c r="R76" s="124">
        <v>1</v>
      </c>
    </row>
    <row r="77" spans="1:18" x14ac:dyDescent="0.4">
      <c r="A77" s="113">
        <v>72</v>
      </c>
      <c r="B77" s="121" t="str">
        <f>IF('3. Intervention Details'!B77="","",'3. Intervention Details'!B77)</f>
        <v/>
      </c>
      <c r="C77" s="109">
        <f>IF('3. Intervention Details'!F77="",0,'3. Intervention Details'!F77)</f>
        <v>0</v>
      </c>
      <c r="D77" s="109">
        <f t="shared" si="12"/>
        <v>0</v>
      </c>
      <c r="E77" s="122"/>
      <c r="F77" s="123">
        <f t="shared" si="13"/>
        <v>0</v>
      </c>
      <c r="G77" s="118">
        <f>'4. Policy Interactive Screen'!D86/100</f>
        <v>0</v>
      </c>
      <c r="H77" s="119"/>
      <c r="I77" s="313">
        <f>'4. Policy Interactive Screen'!G86/100</f>
        <v>0</v>
      </c>
      <c r="J77" s="326">
        <f>'4. Policy Interactive Screen'!J86/100</f>
        <v>0</v>
      </c>
      <c r="K77" s="326">
        <f>'4. Policy Interactive Screen'!M86/100</f>
        <v>0</v>
      </c>
      <c r="L77" s="314">
        <f t="shared" si="14"/>
        <v>0.4</v>
      </c>
      <c r="M77" s="314">
        <f t="shared" si="14"/>
        <v>0.5</v>
      </c>
      <c r="N77" s="314">
        <f t="shared" si="14"/>
        <v>0.6</v>
      </c>
      <c r="O77" s="314">
        <f t="shared" si="14"/>
        <v>0.7</v>
      </c>
      <c r="P77" s="314">
        <f t="shared" si="14"/>
        <v>0.8</v>
      </c>
      <c r="Q77" s="314">
        <f t="shared" si="14"/>
        <v>0.9</v>
      </c>
      <c r="R77" s="124">
        <v>1</v>
      </c>
    </row>
    <row r="78" spans="1:18" x14ac:dyDescent="0.4">
      <c r="A78" s="113">
        <v>73</v>
      </c>
      <c r="B78" s="121" t="str">
        <f>IF('3. Intervention Details'!B78="","",'3. Intervention Details'!B78)</f>
        <v/>
      </c>
      <c r="C78" s="109">
        <f>IF('3. Intervention Details'!F78="",0,'3. Intervention Details'!F78)</f>
        <v>0</v>
      </c>
      <c r="D78" s="109">
        <f t="shared" si="12"/>
        <v>0</v>
      </c>
      <c r="E78" s="122"/>
      <c r="F78" s="123">
        <f t="shared" si="13"/>
        <v>0</v>
      </c>
      <c r="G78" s="118">
        <f>'4. Policy Interactive Screen'!D87/100</f>
        <v>0</v>
      </c>
      <c r="H78" s="119"/>
      <c r="I78" s="313">
        <f>'4. Policy Interactive Screen'!G87/100</f>
        <v>0</v>
      </c>
      <c r="J78" s="326">
        <f>'4. Policy Interactive Screen'!J87/100</f>
        <v>0</v>
      </c>
      <c r="K78" s="326">
        <f>'4. Policy Interactive Screen'!M87/100</f>
        <v>0</v>
      </c>
      <c r="L78" s="314">
        <f t="shared" si="14"/>
        <v>0.4</v>
      </c>
      <c r="M78" s="314">
        <f t="shared" si="14"/>
        <v>0.5</v>
      </c>
      <c r="N78" s="314">
        <f t="shared" si="14"/>
        <v>0.6</v>
      </c>
      <c r="O78" s="314">
        <f t="shared" si="14"/>
        <v>0.7</v>
      </c>
      <c r="P78" s="314">
        <f t="shared" si="14"/>
        <v>0.8</v>
      </c>
      <c r="Q78" s="314">
        <f t="shared" si="14"/>
        <v>0.9</v>
      </c>
      <c r="R78" s="124">
        <v>1</v>
      </c>
    </row>
    <row r="79" spans="1:18" x14ac:dyDescent="0.4">
      <c r="A79" s="113">
        <v>74</v>
      </c>
      <c r="B79" s="121" t="str">
        <f>IF('3. Intervention Details'!B79="","",'3. Intervention Details'!B79)</f>
        <v/>
      </c>
      <c r="C79" s="109">
        <f>IF('3. Intervention Details'!F79="",0,'3. Intervention Details'!F79)</f>
        <v>0</v>
      </c>
      <c r="D79" s="109">
        <f t="shared" si="12"/>
        <v>0</v>
      </c>
      <c r="E79" s="122"/>
      <c r="F79" s="123">
        <f t="shared" si="13"/>
        <v>0</v>
      </c>
      <c r="G79" s="118">
        <f>'4. Policy Interactive Screen'!D88/100</f>
        <v>0</v>
      </c>
      <c r="H79" s="119"/>
      <c r="I79" s="313">
        <f>'4. Policy Interactive Screen'!G88/100</f>
        <v>0</v>
      </c>
      <c r="J79" s="326">
        <f>'4. Policy Interactive Screen'!J88/100</f>
        <v>0</v>
      </c>
      <c r="K79" s="326">
        <f>'4. Policy Interactive Screen'!M88/100</f>
        <v>0</v>
      </c>
      <c r="L79" s="314">
        <f t="shared" si="14"/>
        <v>0.4</v>
      </c>
      <c r="M79" s="314">
        <f t="shared" si="14"/>
        <v>0.5</v>
      </c>
      <c r="N79" s="314">
        <f t="shared" si="14"/>
        <v>0.6</v>
      </c>
      <c r="O79" s="314">
        <f t="shared" si="14"/>
        <v>0.7</v>
      </c>
      <c r="P79" s="314">
        <f t="shared" si="14"/>
        <v>0.8</v>
      </c>
      <c r="Q79" s="314">
        <f t="shared" si="14"/>
        <v>0.9</v>
      </c>
      <c r="R79" s="124">
        <v>1</v>
      </c>
    </row>
    <row r="80" spans="1:18" x14ac:dyDescent="0.4">
      <c r="A80" s="113">
        <v>75</v>
      </c>
      <c r="B80" s="121" t="str">
        <f>IF('3. Intervention Details'!B80="","",'3. Intervention Details'!B80)</f>
        <v/>
      </c>
      <c r="C80" s="109">
        <f>IF('3. Intervention Details'!F80="",0,'3. Intervention Details'!F80)</f>
        <v>0</v>
      </c>
      <c r="D80" s="109">
        <f t="shared" si="12"/>
        <v>0</v>
      </c>
      <c r="E80" s="122"/>
      <c r="F80" s="123">
        <f t="shared" si="13"/>
        <v>0</v>
      </c>
      <c r="G80" s="118">
        <f>'4. Policy Interactive Screen'!D89/100</f>
        <v>0</v>
      </c>
      <c r="H80" s="119"/>
      <c r="I80" s="313">
        <f>'4. Policy Interactive Screen'!G89/100</f>
        <v>0</v>
      </c>
      <c r="J80" s="326">
        <f>'4. Policy Interactive Screen'!J89/100</f>
        <v>0</v>
      </c>
      <c r="K80" s="326">
        <f>'4. Policy Interactive Screen'!M89/100</f>
        <v>0</v>
      </c>
      <c r="L80" s="314">
        <f t="shared" si="14"/>
        <v>0.4</v>
      </c>
      <c r="M80" s="314">
        <f t="shared" si="14"/>
        <v>0.5</v>
      </c>
      <c r="N80" s="314">
        <f t="shared" si="14"/>
        <v>0.6</v>
      </c>
      <c r="O80" s="314">
        <f t="shared" si="14"/>
        <v>0.7</v>
      </c>
      <c r="P80" s="314">
        <f t="shared" si="14"/>
        <v>0.8</v>
      </c>
      <c r="Q80" s="314">
        <f t="shared" si="14"/>
        <v>0.9</v>
      </c>
      <c r="R80" s="124">
        <v>1</v>
      </c>
    </row>
    <row r="81" spans="1:18" x14ac:dyDescent="0.4">
      <c r="A81" s="113">
        <v>76</v>
      </c>
      <c r="B81" s="121" t="str">
        <f>IF('3. Intervention Details'!B81="","",'3. Intervention Details'!B81)</f>
        <v/>
      </c>
      <c r="C81" s="109">
        <f>IF('3. Intervention Details'!F81="",0,'3. Intervention Details'!F81)</f>
        <v>0</v>
      </c>
      <c r="D81" s="109">
        <f t="shared" si="12"/>
        <v>0</v>
      </c>
      <c r="E81" s="122"/>
      <c r="F81" s="123">
        <f t="shared" si="13"/>
        <v>0</v>
      </c>
      <c r="G81" s="118">
        <f>'4. Policy Interactive Screen'!D90/100</f>
        <v>0</v>
      </c>
      <c r="H81" s="119"/>
      <c r="I81" s="313">
        <f>'4. Policy Interactive Screen'!G90/100</f>
        <v>0</v>
      </c>
      <c r="J81" s="326">
        <f>'4. Policy Interactive Screen'!J90/100</f>
        <v>0</v>
      </c>
      <c r="K81" s="326">
        <f>'4. Policy Interactive Screen'!M90/100</f>
        <v>0</v>
      </c>
      <c r="L81" s="314">
        <f t="shared" si="14"/>
        <v>0.4</v>
      </c>
      <c r="M81" s="314">
        <f t="shared" si="14"/>
        <v>0.5</v>
      </c>
      <c r="N81" s="314">
        <f t="shared" si="14"/>
        <v>0.6</v>
      </c>
      <c r="O81" s="314">
        <f t="shared" si="14"/>
        <v>0.7</v>
      </c>
      <c r="P81" s="314">
        <f t="shared" si="14"/>
        <v>0.8</v>
      </c>
      <c r="Q81" s="314">
        <f t="shared" si="14"/>
        <v>0.9</v>
      </c>
      <c r="R81" s="124">
        <v>1</v>
      </c>
    </row>
    <row r="82" spans="1:18" x14ac:dyDescent="0.4">
      <c r="A82" s="113">
        <v>77</v>
      </c>
      <c r="B82" s="121" t="str">
        <f>IF('3. Intervention Details'!B82="","",'3. Intervention Details'!B82)</f>
        <v/>
      </c>
      <c r="C82" s="109">
        <f>IF('3. Intervention Details'!F82="",0,'3. Intervention Details'!F82)</f>
        <v>0</v>
      </c>
      <c r="D82" s="109">
        <f t="shared" si="12"/>
        <v>0</v>
      </c>
      <c r="E82" s="122"/>
      <c r="F82" s="123">
        <f t="shared" si="13"/>
        <v>0</v>
      </c>
      <c r="G82" s="118">
        <f>'4. Policy Interactive Screen'!D91/100</f>
        <v>0</v>
      </c>
      <c r="H82" s="119"/>
      <c r="I82" s="313">
        <f>'4. Policy Interactive Screen'!G91/100</f>
        <v>0</v>
      </c>
      <c r="J82" s="326">
        <f>'4. Policy Interactive Screen'!J91/100</f>
        <v>0</v>
      </c>
      <c r="K82" s="326">
        <f>'4. Policy Interactive Screen'!M91/100</f>
        <v>0</v>
      </c>
      <c r="L82" s="314">
        <f t="shared" si="14"/>
        <v>0.4</v>
      </c>
      <c r="M82" s="314">
        <f t="shared" si="14"/>
        <v>0.5</v>
      </c>
      <c r="N82" s="314">
        <f t="shared" si="14"/>
        <v>0.6</v>
      </c>
      <c r="O82" s="314">
        <f t="shared" si="14"/>
        <v>0.7</v>
      </c>
      <c r="P82" s="314">
        <f t="shared" si="14"/>
        <v>0.8</v>
      </c>
      <c r="Q82" s="314">
        <f t="shared" si="14"/>
        <v>0.9</v>
      </c>
      <c r="R82" s="124">
        <v>1</v>
      </c>
    </row>
    <row r="83" spans="1:18" x14ac:dyDescent="0.4">
      <c r="A83" s="113">
        <v>78</v>
      </c>
      <c r="B83" s="121" t="str">
        <f>IF('3. Intervention Details'!B83="","",'3. Intervention Details'!B83)</f>
        <v/>
      </c>
      <c r="C83" s="109">
        <f>IF('3. Intervention Details'!F83="",0,'3. Intervention Details'!F83)</f>
        <v>0</v>
      </c>
      <c r="D83" s="109">
        <f t="shared" si="12"/>
        <v>0</v>
      </c>
      <c r="E83" s="122"/>
      <c r="F83" s="123">
        <f t="shared" si="13"/>
        <v>0</v>
      </c>
      <c r="G83" s="118">
        <f>'4. Policy Interactive Screen'!D92/100</f>
        <v>0</v>
      </c>
      <c r="H83" s="119"/>
      <c r="I83" s="313">
        <f>'4. Policy Interactive Screen'!G92/100</f>
        <v>0</v>
      </c>
      <c r="J83" s="326">
        <f>'4. Policy Interactive Screen'!J92/100</f>
        <v>0</v>
      </c>
      <c r="K83" s="326">
        <f>'4. Policy Interactive Screen'!M92/100</f>
        <v>0</v>
      </c>
      <c r="L83" s="314">
        <f t="shared" si="14"/>
        <v>0.4</v>
      </c>
      <c r="M83" s="314">
        <f t="shared" si="14"/>
        <v>0.5</v>
      </c>
      <c r="N83" s="314">
        <f t="shared" si="14"/>
        <v>0.6</v>
      </c>
      <c r="O83" s="314">
        <f t="shared" si="14"/>
        <v>0.7</v>
      </c>
      <c r="P83" s="314">
        <f t="shared" si="14"/>
        <v>0.8</v>
      </c>
      <c r="Q83" s="314">
        <f t="shared" si="14"/>
        <v>0.9</v>
      </c>
      <c r="R83" s="124">
        <v>1</v>
      </c>
    </row>
    <row r="84" spans="1:18" x14ac:dyDescent="0.4">
      <c r="A84" s="113">
        <v>79</v>
      </c>
      <c r="B84" s="121" t="str">
        <f>IF('3. Intervention Details'!B84="","",'3. Intervention Details'!B84)</f>
        <v/>
      </c>
      <c r="C84" s="109">
        <f>IF('3. Intervention Details'!F84="",0,'3. Intervention Details'!F84)</f>
        <v>0</v>
      </c>
      <c r="D84" s="109">
        <f t="shared" si="12"/>
        <v>0</v>
      </c>
      <c r="E84" s="122"/>
      <c r="F84" s="123">
        <f t="shared" si="13"/>
        <v>0</v>
      </c>
      <c r="G84" s="118">
        <f>'4. Policy Interactive Screen'!D93/100</f>
        <v>0</v>
      </c>
      <c r="H84" s="119"/>
      <c r="I84" s="313">
        <f>'4. Policy Interactive Screen'!G93/100</f>
        <v>0</v>
      </c>
      <c r="J84" s="326">
        <f>'4. Policy Interactive Screen'!J93/100</f>
        <v>0</v>
      </c>
      <c r="K84" s="326">
        <f>'4. Policy Interactive Screen'!M93/100</f>
        <v>0</v>
      </c>
      <c r="L84" s="314">
        <f t="shared" si="14"/>
        <v>0.4</v>
      </c>
      <c r="M84" s="314">
        <f t="shared" si="14"/>
        <v>0.5</v>
      </c>
      <c r="N84" s="314">
        <f t="shared" si="14"/>
        <v>0.6</v>
      </c>
      <c r="O84" s="314">
        <f t="shared" si="14"/>
        <v>0.7</v>
      </c>
      <c r="P84" s="314">
        <f t="shared" si="14"/>
        <v>0.8</v>
      </c>
      <c r="Q84" s="314">
        <f t="shared" si="14"/>
        <v>0.9</v>
      </c>
      <c r="R84" s="124">
        <v>1</v>
      </c>
    </row>
    <row r="85" spans="1:18" x14ac:dyDescent="0.4">
      <c r="A85" s="113">
        <v>80</v>
      </c>
      <c r="B85" s="121" t="str">
        <f>IF('3. Intervention Details'!B85="","",'3. Intervention Details'!B85)</f>
        <v/>
      </c>
      <c r="C85" s="109">
        <f>IF('3. Intervention Details'!F85="",0,'3. Intervention Details'!F85)</f>
        <v>0</v>
      </c>
      <c r="D85" s="109">
        <f t="shared" si="12"/>
        <v>0</v>
      </c>
      <c r="E85" s="122"/>
      <c r="F85" s="123">
        <f t="shared" si="13"/>
        <v>0</v>
      </c>
      <c r="G85" s="118">
        <f>'4. Policy Interactive Screen'!D94/100</f>
        <v>0</v>
      </c>
      <c r="H85" s="119"/>
      <c r="I85" s="313">
        <f>'4. Policy Interactive Screen'!G94/100</f>
        <v>0</v>
      </c>
      <c r="J85" s="326">
        <f>'4. Policy Interactive Screen'!J94/100</f>
        <v>0</v>
      </c>
      <c r="K85" s="326">
        <f>'4. Policy Interactive Screen'!M94/100</f>
        <v>0</v>
      </c>
      <c r="L85" s="314">
        <f t="shared" si="14"/>
        <v>0.4</v>
      </c>
      <c r="M85" s="314">
        <f t="shared" si="14"/>
        <v>0.5</v>
      </c>
      <c r="N85" s="314">
        <f t="shared" si="14"/>
        <v>0.6</v>
      </c>
      <c r="O85" s="314">
        <f t="shared" si="14"/>
        <v>0.7</v>
      </c>
      <c r="P85" s="314">
        <f t="shared" si="14"/>
        <v>0.8</v>
      </c>
      <c r="Q85" s="314">
        <f t="shared" si="14"/>
        <v>0.9</v>
      </c>
      <c r="R85" s="124">
        <v>1</v>
      </c>
    </row>
    <row r="86" spans="1:18" x14ac:dyDescent="0.4">
      <c r="A86" s="113">
        <v>81</v>
      </c>
      <c r="B86" s="121" t="str">
        <f>IF('3. Intervention Details'!B86="","",'3. Intervention Details'!B86)</f>
        <v/>
      </c>
      <c r="C86" s="109">
        <f>IF('3. Intervention Details'!F86="",0,'3. Intervention Details'!F86)</f>
        <v>0</v>
      </c>
      <c r="D86" s="109">
        <f t="shared" si="12"/>
        <v>0</v>
      </c>
      <c r="E86" s="122"/>
      <c r="F86" s="123">
        <f t="shared" si="13"/>
        <v>0</v>
      </c>
      <c r="G86" s="118">
        <f>'4. Policy Interactive Screen'!D95/100</f>
        <v>0</v>
      </c>
      <c r="H86" s="119"/>
      <c r="I86" s="313">
        <f>'4. Policy Interactive Screen'!G95/100</f>
        <v>0</v>
      </c>
      <c r="J86" s="326">
        <f>'4. Policy Interactive Screen'!J95/100</f>
        <v>0</v>
      </c>
      <c r="K86" s="326">
        <f>'4. Policy Interactive Screen'!M95/100</f>
        <v>0</v>
      </c>
      <c r="L86" s="314">
        <f t="shared" ref="L86:Q95" si="15">$G86+(L$4-baseline_year)*($R86-$G86)/($R$4-baseline_year)</f>
        <v>0.4</v>
      </c>
      <c r="M86" s="314">
        <f t="shared" si="15"/>
        <v>0.5</v>
      </c>
      <c r="N86" s="314">
        <f t="shared" si="15"/>
        <v>0.6</v>
      </c>
      <c r="O86" s="314">
        <f t="shared" si="15"/>
        <v>0.7</v>
      </c>
      <c r="P86" s="314">
        <f t="shared" si="15"/>
        <v>0.8</v>
      </c>
      <c r="Q86" s="314">
        <f t="shared" si="15"/>
        <v>0.9</v>
      </c>
      <c r="R86" s="124">
        <v>1</v>
      </c>
    </row>
    <row r="87" spans="1:18" x14ac:dyDescent="0.4">
      <c r="A87" s="113">
        <v>82</v>
      </c>
      <c r="B87" s="121" t="str">
        <f>IF('3. Intervention Details'!B87="","",'3. Intervention Details'!B87)</f>
        <v/>
      </c>
      <c r="C87" s="109">
        <f>IF('3. Intervention Details'!F87="",0,'3. Intervention Details'!F87)</f>
        <v>0</v>
      </c>
      <c r="D87" s="109">
        <f t="shared" si="12"/>
        <v>0</v>
      </c>
      <c r="E87" s="122"/>
      <c r="F87" s="123">
        <f t="shared" si="13"/>
        <v>0</v>
      </c>
      <c r="G87" s="118">
        <f>'4. Policy Interactive Screen'!D96/100</f>
        <v>0</v>
      </c>
      <c r="H87" s="119"/>
      <c r="I87" s="313">
        <f>'4. Policy Interactive Screen'!G96/100</f>
        <v>0</v>
      </c>
      <c r="J87" s="326">
        <f>'4. Policy Interactive Screen'!J96/100</f>
        <v>0</v>
      </c>
      <c r="K87" s="326">
        <f>'4. Policy Interactive Screen'!M96/100</f>
        <v>0</v>
      </c>
      <c r="L87" s="314">
        <f t="shared" si="15"/>
        <v>0.4</v>
      </c>
      <c r="M87" s="314">
        <f t="shared" si="15"/>
        <v>0.5</v>
      </c>
      <c r="N87" s="314">
        <f t="shared" si="15"/>
        <v>0.6</v>
      </c>
      <c r="O87" s="314">
        <f t="shared" si="15"/>
        <v>0.7</v>
      </c>
      <c r="P87" s="314">
        <f t="shared" si="15"/>
        <v>0.8</v>
      </c>
      <c r="Q87" s="314">
        <f t="shared" si="15"/>
        <v>0.9</v>
      </c>
      <c r="R87" s="124">
        <v>1</v>
      </c>
    </row>
    <row r="88" spans="1:18" x14ac:dyDescent="0.4">
      <c r="A88" s="113">
        <v>83</v>
      </c>
      <c r="B88" s="121" t="str">
        <f>IF('3. Intervention Details'!B88="","",'3. Intervention Details'!B88)</f>
        <v/>
      </c>
      <c r="C88" s="109">
        <f>IF('3. Intervention Details'!F88="",0,'3. Intervention Details'!F88)</f>
        <v>0</v>
      </c>
      <c r="D88" s="109">
        <f t="shared" si="12"/>
        <v>0</v>
      </c>
      <c r="E88" s="122"/>
      <c r="F88" s="123">
        <f t="shared" si="13"/>
        <v>0</v>
      </c>
      <c r="G88" s="118">
        <f>'4. Policy Interactive Screen'!D97/100</f>
        <v>0</v>
      </c>
      <c r="H88" s="119"/>
      <c r="I88" s="313">
        <f>'4. Policy Interactive Screen'!G97/100</f>
        <v>0</v>
      </c>
      <c r="J88" s="326">
        <f>'4. Policy Interactive Screen'!J97/100</f>
        <v>0</v>
      </c>
      <c r="K88" s="326">
        <f>'4. Policy Interactive Screen'!M97/100</f>
        <v>0</v>
      </c>
      <c r="L88" s="314">
        <f t="shared" si="15"/>
        <v>0.4</v>
      </c>
      <c r="M88" s="314">
        <f t="shared" si="15"/>
        <v>0.5</v>
      </c>
      <c r="N88" s="314">
        <f t="shared" si="15"/>
        <v>0.6</v>
      </c>
      <c r="O88" s="314">
        <f t="shared" si="15"/>
        <v>0.7</v>
      </c>
      <c r="P88" s="314">
        <f t="shared" si="15"/>
        <v>0.8</v>
      </c>
      <c r="Q88" s="314">
        <f t="shared" si="15"/>
        <v>0.9</v>
      </c>
      <c r="R88" s="124">
        <v>1</v>
      </c>
    </row>
    <row r="89" spans="1:18" x14ac:dyDescent="0.4">
      <c r="A89" s="113">
        <v>84</v>
      </c>
      <c r="B89" s="121" t="str">
        <f>IF('3. Intervention Details'!B89="","",'3. Intervention Details'!B89)</f>
        <v/>
      </c>
      <c r="C89" s="109">
        <f>IF('3. Intervention Details'!F89="",0,'3. Intervention Details'!F89)</f>
        <v>0</v>
      </c>
      <c r="D89" s="109">
        <f t="shared" si="12"/>
        <v>0</v>
      </c>
      <c r="E89" s="122"/>
      <c r="F89" s="123">
        <f t="shared" si="13"/>
        <v>0</v>
      </c>
      <c r="G89" s="118">
        <f>'4. Policy Interactive Screen'!D98/100</f>
        <v>0</v>
      </c>
      <c r="H89" s="119"/>
      <c r="I89" s="313">
        <f>'4. Policy Interactive Screen'!G98/100</f>
        <v>0</v>
      </c>
      <c r="J89" s="326">
        <f>'4. Policy Interactive Screen'!J98/100</f>
        <v>0</v>
      </c>
      <c r="K89" s="326">
        <f>'4. Policy Interactive Screen'!M98/100</f>
        <v>0</v>
      </c>
      <c r="L89" s="314">
        <f t="shared" si="15"/>
        <v>0.4</v>
      </c>
      <c r="M89" s="314">
        <f t="shared" si="15"/>
        <v>0.5</v>
      </c>
      <c r="N89" s="314">
        <f t="shared" si="15"/>
        <v>0.6</v>
      </c>
      <c r="O89" s="314">
        <f t="shared" si="15"/>
        <v>0.7</v>
      </c>
      <c r="P89" s="314">
        <f t="shared" si="15"/>
        <v>0.8</v>
      </c>
      <c r="Q89" s="314">
        <f t="shared" si="15"/>
        <v>0.9</v>
      </c>
      <c r="R89" s="124">
        <v>1</v>
      </c>
    </row>
    <row r="90" spans="1:18" x14ac:dyDescent="0.4">
      <c r="A90" s="113">
        <v>85</v>
      </c>
      <c r="B90" s="121" t="str">
        <f>IF('3. Intervention Details'!B90="","",'3. Intervention Details'!B90)</f>
        <v/>
      </c>
      <c r="C90" s="109">
        <f>IF('3. Intervention Details'!F90="",0,'3. Intervention Details'!F90)</f>
        <v>0</v>
      </c>
      <c r="D90" s="109">
        <f t="shared" si="12"/>
        <v>0</v>
      </c>
      <c r="E90" s="122"/>
      <c r="F90" s="123">
        <f t="shared" si="13"/>
        <v>0</v>
      </c>
      <c r="G90" s="118">
        <f>'4. Policy Interactive Screen'!D99/100</f>
        <v>0</v>
      </c>
      <c r="H90" s="119"/>
      <c r="I90" s="313">
        <f>'4. Policy Interactive Screen'!G99/100</f>
        <v>0</v>
      </c>
      <c r="J90" s="326">
        <f>'4. Policy Interactive Screen'!J99/100</f>
        <v>0</v>
      </c>
      <c r="K90" s="326">
        <f>'4. Policy Interactive Screen'!M99/100</f>
        <v>0</v>
      </c>
      <c r="L90" s="314">
        <f t="shared" si="15"/>
        <v>0.4</v>
      </c>
      <c r="M90" s="314">
        <f t="shared" si="15"/>
        <v>0.5</v>
      </c>
      <c r="N90" s="314">
        <f t="shared" si="15"/>
        <v>0.6</v>
      </c>
      <c r="O90" s="314">
        <f t="shared" si="15"/>
        <v>0.7</v>
      </c>
      <c r="P90" s="314">
        <f t="shared" si="15"/>
        <v>0.8</v>
      </c>
      <c r="Q90" s="314">
        <f t="shared" si="15"/>
        <v>0.9</v>
      </c>
      <c r="R90" s="124">
        <v>1</v>
      </c>
    </row>
    <row r="91" spans="1:18" x14ac:dyDescent="0.4">
      <c r="A91" s="113">
        <v>86</v>
      </c>
      <c r="B91" s="121" t="str">
        <f>IF('3. Intervention Details'!B91="","",'3. Intervention Details'!B91)</f>
        <v/>
      </c>
      <c r="C91" s="109">
        <f>IF('3. Intervention Details'!F91="",0,'3. Intervention Details'!F91)</f>
        <v>0</v>
      </c>
      <c r="D91" s="109">
        <f t="shared" si="12"/>
        <v>0</v>
      </c>
      <c r="E91" s="122"/>
      <c r="F91" s="123">
        <f t="shared" si="13"/>
        <v>0</v>
      </c>
      <c r="G91" s="118">
        <f>'4. Policy Interactive Screen'!D100/100</f>
        <v>0</v>
      </c>
      <c r="H91" s="119"/>
      <c r="I91" s="313">
        <f>'4. Policy Interactive Screen'!G100/100</f>
        <v>0</v>
      </c>
      <c r="J91" s="326">
        <f>'4. Policy Interactive Screen'!J100/100</f>
        <v>0</v>
      </c>
      <c r="K91" s="326">
        <f>'4. Policy Interactive Screen'!M100/100</f>
        <v>0</v>
      </c>
      <c r="L91" s="314">
        <f t="shared" si="15"/>
        <v>0.4</v>
      </c>
      <c r="M91" s="314">
        <f t="shared" si="15"/>
        <v>0.5</v>
      </c>
      <c r="N91" s="314">
        <f t="shared" si="15"/>
        <v>0.6</v>
      </c>
      <c r="O91" s="314">
        <f t="shared" si="15"/>
        <v>0.7</v>
      </c>
      <c r="P91" s="314">
        <f t="shared" si="15"/>
        <v>0.8</v>
      </c>
      <c r="Q91" s="314">
        <f t="shared" si="15"/>
        <v>0.9</v>
      </c>
      <c r="R91" s="124">
        <v>1</v>
      </c>
    </row>
    <row r="92" spans="1:18" x14ac:dyDescent="0.4">
      <c r="A92" s="113">
        <v>87</v>
      </c>
      <c r="B92" s="121" t="str">
        <f>IF('3. Intervention Details'!B92="","",'3. Intervention Details'!B92)</f>
        <v/>
      </c>
      <c r="C92" s="109">
        <f>IF('3. Intervention Details'!F92="",0,'3. Intervention Details'!F92)</f>
        <v>0</v>
      </c>
      <c r="D92" s="109">
        <f t="shared" si="12"/>
        <v>0</v>
      </c>
      <c r="E92" s="122"/>
      <c r="F92" s="123">
        <f t="shared" si="13"/>
        <v>0</v>
      </c>
      <c r="G92" s="118">
        <f>'4. Policy Interactive Screen'!D101/100</f>
        <v>0</v>
      </c>
      <c r="H92" s="119"/>
      <c r="I92" s="313">
        <f>'4. Policy Interactive Screen'!G101/100</f>
        <v>0</v>
      </c>
      <c r="J92" s="326">
        <f>'4. Policy Interactive Screen'!J101/100</f>
        <v>0</v>
      </c>
      <c r="K92" s="326">
        <f>'4. Policy Interactive Screen'!M101/100</f>
        <v>0</v>
      </c>
      <c r="L92" s="314">
        <f t="shared" si="15"/>
        <v>0.4</v>
      </c>
      <c r="M92" s="314">
        <f t="shared" si="15"/>
        <v>0.5</v>
      </c>
      <c r="N92" s="314">
        <f t="shared" si="15"/>
        <v>0.6</v>
      </c>
      <c r="O92" s="314">
        <f t="shared" si="15"/>
        <v>0.7</v>
      </c>
      <c r="P92" s="314">
        <f t="shared" si="15"/>
        <v>0.8</v>
      </c>
      <c r="Q92" s="314">
        <f t="shared" si="15"/>
        <v>0.9</v>
      </c>
      <c r="R92" s="124">
        <v>1</v>
      </c>
    </row>
    <row r="93" spans="1:18" x14ac:dyDescent="0.4">
      <c r="A93" s="113">
        <v>88</v>
      </c>
      <c r="B93" s="121" t="str">
        <f>IF('3. Intervention Details'!B93="","",'3. Intervention Details'!B93)</f>
        <v/>
      </c>
      <c r="C93" s="109">
        <f>IF('3. Intervention Details'!F93="",0,'3. Intervention Details'!F93)</f>
        <v>0</v>
      </c>
      <c r="D93" s="109">
        <f t="shared" si="12"/>
        <v>0</v>
      </c>
      <c r="E93" s="122"/>
      <c r="F93" s="123">
        <f t="shared" si="13"/>
        <v>0</v>
      </c>
      <c r="G93" s="118">
        <f>'4. Policy Interactive Screen'!D102/100</f>
        <v>0</v>
      </c>
      <c r="H93" s="119"/>
      <c r="I93" s="313">
        <f>'4. Policy Interactive Screen'!G102/100</f>
        <v>0</v>
      </c>
      <c r="J93" s="326">
        <f>'4. Policy Interactive Screen'!J102/100</f>
        <v>0</v>
      </c>
      <c r="K93" s="326">
        <f>'4. Policy Interactive Screen'!M102/100</f>
        <v>0</v>
      </c>
      <c r="L93" s="314">
        <f t="shared" si="15"/>
        <v>0.4</v>
      </c>
      <c r="M93" s="314">
        <f t="shared" si="15"/>
        <v>0.5</v>
      </c>
      <c r="N93" s="314">
        <f t="shared" si="15"/>
        <v>0.6</v>
      </c>
      <c r="O93" s="314">
        <f t="shared" si="15"/>
        <v>0.7</v>
      </c>
      <c r="P93" s="314">
        <f t="shared" si="15"/>
        <v>0.8</v>
      </c>
      <c r="Q93" s="314">
        <f t="shared" si="15"/>
        <v>0.9</v>
      </c>
      <c r="R93" s="124">
        <v>1</v>
      </c>
    </row>
    <row r="94" spans="1:18" x14ac:dyDescent="0.4">
      <c r="A94" s="113">
        <v>89</v>
      </c>
      <c r="B94" s="121" t="str">
        <f>IF('3. Intervention Details'!B94="","",'3. Intervention Details'!B94)</f>
        <v/>
      </c>
      <c r="C94" s="109">
        <f>IF('3. Intervention Details'!F94="",0,'3. Intervention Details'!F94)</f>
        <v>0</v>
      </c>
      <c r="D94" s="109">
        <f t="shared" si="12"/>
        <v>0</v>
      </c>
      <c r="E94" s="122"/>
      <c r="F94" s="123">
        <f t="shared" si="13"/>
        <v>0</v>
      </c>
      <c r="G94" s="118">
        <f>'4. Policy Interactive Screen'!D103/100</f>
        <v>0</v>
      </c>
      <c r="H94" s="119"/>
      <c r="I94" s="313">
        <f>'4. Policy Interactive Screen'!G103/100</f>
        <v>0</v>
      </c>
      <c r="J94" s="326">
        <f>'4. Policy Interactive Screen'!J103/100</f>
        <v>0</v>
      </c>
      <c r="K94" s="326">
        <f>'4. Policy Interactive Screen'!M103/100</f>
        <v>0</v>
      </c>
      <c r="L94" s="314">
        <f t="shared" si="15"/>
        <v>0.4</v>
      </c>
      <c r="M94" s="314">
        <f t="shared" si="15"/>
        <v>0.5</v>
      </c>
      <c r="N94" s="314">
        <f t="shared" si="15"/>
        <v>0.6</v>
      </c>
      <c r="O94" s="314">
        <f t="shared" si="15"/>
        <v>0.7</v>
      </c>
      <c r="P94" s="314">
        <f t="shared" si="15"/>
        <v>0.8</v>
      </c>
      <c r="Q94" s="314">
        <f t="shared" si="15"/>
        <v>0.9</v>
      </c>
      <c r="R94" s="124">
        <v>1</v>
      </c>
    </row>
    <row r="95" spans="1:18" x14ac:dyDescent="0.4">
      <c r="A95" s="113">
        <v>90</v>
      </c>
      <c r="B95" s="121" t="str">
        <f>IF('3. Intervention Details'!B95="","",'3. Intervention Details'!B95)</f>
        <v/>
      </c>
      <c r="C95" s="109">
        <f>IF('3. Intervention Details'!F95="",0,'3. Intervention Details'!F95)</f>
        <v>0</v>
      </c>
      <c r="D95" s="109">
        <f t="shared" si="12"/>
        <v>0</v>
      </c>
      <c r="E95" s="122"/>
      <c r="F95" s="123">
        <f t="shared" si="13"/>
        <v>0</v>
      </c>
      <c r="G95" s="118">
        <f>'4. Policy Interactive Screen'!D104/100</f>
        <v>0</v>
      </c>
      <c r="H95" s="119"/>
      <c r="I95" s="313">
        <f>'4. Policy Interactive Screen'!G104/100</f>
        <v>0</v>
      </c>
      <c r="J95" s="326">
        <f>'4. Policy Interactive Screen'!J104/100</f>
        <v>0</v>
      </c>
      <c r="K95" s="326">
        <f>'4. Policy Interactive Screen'!M104/100</f>
        <v>0</v>
      </c>
      <c r="L95" s="314">
        <f t="shared" si="15"/>
        <v>0.4</v>
      </c>
      <c r="M95" s="314">
        <f t="shared" si="15"/>
        <v>0.5</v>
      </c>
      <c r="N95" s="314">
        <f t="shared" si="15"/>
        <v>0.6</v>
      </c>
      <c r="O95" s="314">
        <f t="shared" si="15"/>
        <v>0.7</v>
      </c>
      <c r="P95" s="314">
        <f t="shared" si="15"/>
        <v>0.8</v>
      </c>
      <c r="Q95" s="314">
        <f t="shared" si="15"/>
        <v>0.9</v>
      </c>
      <c r="R95" s="124">
        <v>1</v>
      </c>
    </row>
    <row r="96" spans="1:18" x14ac:dyDescent="0.4">
      <c r="A96" s="113">
        <v>91</v>
      </c>
      <c r="B96" s="121" t="str">
        <f>IF('3. Intervention Details'!B96="","",'3. Intervention Details'!B96)</f>
        <v/>
      </c>
      <c r="C96" s="109">
        <f>IF('3. Intervention Details'!F96="",0,'3. Intervention Details'!F96)</f>
        <v>0</v>
      </c>
      <c r="D96" s="109">
        <f t="shared" si="12"/>
        <v>0</v>
      </c>
      <c r="E96" s="122"/>
      <c r="F96" s="123">
        <f t="shared" si="13"/>
        <v>0</v>
      </c>
      <c r="G96" s="118">
        <f>'4. Policy Interactive Screen'!D105/100</f>
        <v>0</v>
      </c>
      <c r="H96" s="119"/>
      <c r="I96" s="313">
        <f>'4. Policy Interactive Screen'!G105/100</f>
        <v>0</v>
      </c>
      <c r="J96" s="326">
        <f>'4. Policy Interactive Screen'!J105/100</f>
        <v>0</v>
      </c>
      <c r="K96" s="326">
        <f>'4. Policy Interactive Screen'!M105/100</f>
        <v>0</v>
      </c>
      <c r="L96" s="314">
        <f t="shared" ref="L96:Q105" si="16">$G96+(L$4-baseline_year)*($R96-$G96)/($R$4-baseline_year)</f>
        <v>0.4</v>
      </c>
      <c r="M96" s="314">
        <f t="shared" si="16"/>
        <v>0.5</v>
      </c>
      <c r="N96" s="314">
        <f t="shared" si="16"/>
        <v>0.6</v>
      </c>
      <c r="O96" s="314">
        <f t="shared" si="16"/>
        <v>0.7</v>
      </c>
      <c r="P96" s="314">
        <f t="shared" si="16"/>
        <v>0.8</v>
      </c>
      <c r="Q96" s="314">
        <f t="shared" si="16"/>
        <v>0.9</v>
      </c>
      <c r="R96" s="124">
        <v>1</v>
      </c>
    </row>
    <row r="97" spans="1:18" x14ac:dyDescent="0.4">
      <c r="A97" s="113">
        <v>92</v>
      </c>
      <c r="B97" s="121" t="str">
        <f>IF('3. Intervention Details'!B97="","",'3. Intervention Details'!B97)</f>
        <v/>
      </c>
      <c r="C97" s="109">
        <f>IF('3. Intervention Details'!F97="",0,'3. Intervention Details'!F97)</f>
        <v>0</v>
      </c>
      <c r="D97" s="109">
        <f t="shared" si="12"/>
        <v>0</v>
      </c>
      <c r="E97" s="122"/>
      <c r="F97" s="123">
        <f t="shared" si="13"/>
        <v>0</v>
      </c>
      <c r="G97" s="118">
        <f>'4. Policy Interactive Screen'!D106/100</f>
        <v>0</v>
      </c>
      <c r="H97" s="119"/>
      <c r="I97" s="313">
        <f>'4. Policy Interactive Screen'!G106/100</f>
        <v>0</v>
      </c>
      <c r="J97" s="326">
        <f>'4. Policy Interactive Screen'!J106/100</f>
        <v>0</v>
      </c>
      <c r="K97" s="326">
        <f>'4. Policy Interactive Screen'!M106/100</f>
        <v>0</v>
      </c>
      <c r="L97" s="314">
        <f t="shared" si="16"/>
        <v>0.4</v>
      </c>
      <c r="M97" s="314">
        <f t="shared" si="16"/>
        <v>0.5</v>
      </c>
      <c r="N97" s="314">
        <f t="shared" si="16"/>
        <v>0.6</v>
      </c>
      <c r="O97" s="314">
        <f t="shared" si="16"/>
        <v>0.7</v>
      </c>
      <c r="P97" s="314">
        <f t="shared" si="16"/>
        <v>0.8</v>
      </c>
      <c r="Q97" s="314">
        <f t="shared" si="16"/>
        <v>0.9</v>
      </c>
      <c r="R97" s="124">
        <v>1</v>
      </c>
    </row>
    <row r="98" spans="1:18" x14ac:dyDescent="0.4">
      <c r="A98" s="113">
        <v>93</v>
      </c>
      <c r="B98" s="121" t="str">
        <f>IF('3. Intervention Details'!B98="","",'3. Intervention Details'!B98)</f>
        <v/>
      </c>
      <c r="C98" s="109">
        <f>IF('3. Intervention Details'!F98="",0,'3. Intervention Details'!F98)</f>
        <v>0</v>
      </c>
      <c r="D98" s="109">
        <f t="shared" si="12"/>
        <v>0</v>
      </c>
      <c r="E98" s="122"/>
      <c r="F98" s="123">
        <f t="shared" si="13"/>
        <v>0</v>
      </c>
      <c r="G98" s="118">
        <f>'4. Policy Interactive Screen'!D107/100</f>
        <v>0</v>
      </c>
      <c r="H98" s="119"/>
      <c r="I98" s="313">
        <f>'4. Policy Interactive Screen'!G107/100</f>
        <v>0</v>
      </c>
      <c r="J98" s="326">
        <f>'4. Policy Interactive Screen'!J107/100</f>
        <v>0</v>
      </c>
      <c r="K98" s="326">
        <f>'4. Policy Interactive Screen'!M107/100</f>
        <v>0</v>
      </c>
      <c r="L98" s="314">
        <f t="shared" si="16"/>
        <v>0.4</v>
      </c>
      <c r="M98" s="314">
        <f t="shared" si="16"/>
        <v>0.5</v>
      </c>
      <c r="N98" s="314">
        <f t="shared" si="16"/>
        <v>0.6</v>
      </c>
      <c r="O98" s="314">
        <f t="shared" si="16"/>
        <v>0.7</v>
      </c>
      <c r="P98" s="314">
        <f t="shared" si="16"/>
        <v>0.8</v>
      </c>
      <c r="Q98" s="314">
        <f t="shared" si="16"/>
        <v>0.9</v>
      </c>
      <c r="R98" s="124">
        <v>1</v>
      </c>
    </row>
    <row r="99" spans="1:18" x14ac:dyDescent="0.4">
      <c r="A99" s="113">
        <v>94</v>
      </c>
      <c r="B99" s="121" t="str">
        <f>IF('3. Intervention Details'!B99="","",'3. Intervention Details'!B99)</f>
        <v/>
      </c>
      <c r="C99" s="109">
        <f>IF('3. Intervention Details'!F99="",0,'3. Intervention Details'!F99)</f>
        <v>0</v>
      </c>
      <c r="D99" s="109">
        <f t="shared" si="12"/>
        <v>0</v>
      </c>
      <c r="E99" s="122"/>
      <c r="F99" s="123">
        <f t="shared" si="13"/>
        <v>0</v>
      </c>
      <c r="G99" s="118">
        <f>'4. Policy Interactive Screen'!D108/100</f>
        <v>0</v>
      </c>
      <c r="H99" s="119"/>
      <c r="I99" s="313">
        <f>'4. Policy Interactive Screen'!G108/100</f>
        <v>0</v>
      </c>
      <c r="J99" s="326">
        <f>'4. Policy Interactive Screen'!J108/100</f>
        <v>0</v>
      </c>
      <c r="K99" s="326">
        <f>'4. Policy Interactive Screen'!M108/100</f>
        <v>0</v>
      </c>
      <c r="L99" s="314">
        <f t="shared" si="16"/>
        <v>0.4</v>
      </c>
      <c r="M99" s="314">
        <f t="shared" si="16"/>
        <v>0.5</v>
      </c>
      <c r="N99" s="314">
        <f t="shared" si="16"/>
        <v>0.6</v>
      </c>
      <c r="O99" s="314">
        <f t="shared" si="16"/>
        <v>0.7</v>
      </c>
      <c r="P99" s="314">
        <f t="shared" si="16"/>
        <v>0.8</v>
      </c>
      <c r="Q99" s="314">
        <f t="shared" si="16"/>
        <v>0.9</v>
      </c>
      <c r="R99" s="124">
        <v>1</v>
      </c>
    </row>
    <row r="100" spans="1:18" x14ac:dyDescent="0.4">
      <c r="A100" s="113">
        <v>95</v>
      </c>
      <c r="B100" s="121" t="str">
        <f>IF('3. Intervention Details'!B100="","",'3. Intervention Details'!B100)</f>
        <v/>
      </c>
      <c r="C100" s="109">
        <f>IF('3. Intervention Details'!F100="",0,'3. Intervention Details'!F100)</f>
        <v>0</v>
      </c>
      <c r="D100" s="109">
        <f t="shared" si="12"/>
        <v>0</v>
      </c>
      <c r="E100" s="122"/>
      <c r="F100" s="123">
        <f t="shared" si="13"/>
        <v>0</v>
      </c>
      <c r="G100" s="118">
        <f>'4. Policy Interactive Screen'!D109/100</f>
        <v>0</v>
      </c>
      <c r="H100" s="119"/>
      <c r="I100" s="313">
        <f>'4. Policy Interactive Screen'!G109/100</f>
        <v>0</v>
      </c>
      <c r="J100" s="326">
        <f>'4. Policy Interactive Screen'!J109/100</f>
        <v>0</v>
      </c>
      <c r="K100" s="326">
        <f>'4. Policy Interactive Screen'!M109/100</f>
        <v>0</v>
      </c>
      <c r="L100" s="314">
        <f t="shared" si="16"/>
        <v>0.4</v>
      </c>
      <c r="M100" s="314">
        <f t="shared" si="16"/>
        <v>0.5</v>
      </c>
      <c r="N100" s="314">
        <f t="shared" si="16"/>
        <v>0.6</v>
      </c>
      <c r="O100" s="314">
        <f t="shared" si="16"/>
        <v>0.7</v>
      </c>
      <c r="P100" s="314">
        <f t="shared" si="16"/>
        <v>0.8</v>
      </c>
      <c r="Q100" s="314">
        <f t="shared" si="16"/>
        <v>0.9</v>
      </c>
      <c r="R100" s="124">
        <v>1</v>
      </c>
    </row>
    <row r="101" spans="1:18" x14ac:dyDescent="0.4">
      <c r="A101" s="113">
        <v>96</v>
      </c>
      <c r="B101" s="121" t="str">
        <f>IF('3. Intervention Details'!B101="","",'3. Intervention Details'!B101)</f>
        <v/>
      </c>
      <c r="C101" s="109">
        <f>IF('3. Intervention Details'!F101="",0,'3. Intervention Details'!F101)</f>
        <v>0</v>
      </c>
      <c r="D101" s="109">
        <f t="shared" si="12"/>
        <v>0</v>
      </c>
      <c r="E101" s="122"/>
      <c r="F101" s="123">
        <f t="shared" si="13"/>
        <v>0</v>
      </c>
      <c r="G101" s="118">
        <f>'4. Policy Interactive Screen'!D110/100</f>
        <v>0</v>
      </c>
      <c r="H101" s="119"/>
      <c r="I101" s="313">
        <f>'4. Policy Interactive Screen'!G110/100</f>
        <v>0</v>
      </c>
      <c r="J101" s="326">
        <f>'4. Policy Interactive Screen'!J110/100</f>
        <v>0</v>
      </c>
      <c r="K101" s="326">
        <f>'4. Policy Interactive Screen'!M110/100</f>
        <v>0</v>
      </c>
      <c r="L101" s="314">
        <f t="shared" si="16"/>
        <v>0.4</v>
      </c>
      <c r="M101" s="314">
        <f t="shared" si="16"/>
        <v>0.5</v>
      </c>
      <c r="N101" s="314">
        <f t="shared" si="16"/>
        <v>0.6</v>
      </c>
      <c r="O101" s="314">
        <f t="shared" si="16"/>
        <v>0.7</v>
      </c>
      <c r="P101" s="314">
        <f t="shared" si="16"/>
        <v>0.8</v>
      </c>
      <c r="Q101" s="314">
        <f t="shared" si="16"/>
        <v>0.9</v>
      </c>
      <c r="R101" s="124">
        <v>1</v>
      </c>
    </row>
    <row r="102" spans="1:18" x14ac:dyDescent="0.4">
      <c r="A102" s="113">
        <v>97</v>
      </c>
      <c r="B102" s="121" t="str">
        <f>IF('3. Intervention Details'!B102="","",'3. Intervention Details'!B102)</f>
        <v/>
      </c>
      <c r="C102" s="109">
        <f>IF('3. Intervention Details'!F102="",0,'3. Intervention Details'!F102)</f>
        <v>0</v>
      </c>
      <c r="D102" s="109">
        <f t="shared" si="12"/>
        <v>0</v>
      </c>
      <c r="E102" s="122"/>
      <c r="F102" s="123">
        <f t="shared" si="13"/>
        <v>0</v>
      </c>
      <c r="G102" s="118">
        <f>'4. Policy Interactive Screen'!D111/100</f>
        <v>0</v>
      </c>
      <c r="H102" s="119"/>
      <c r="I102" s="313">
        <f>'4. Policy Interactive Screen'!G111/100</f>
        <v>0</v>
      </c>
      <c r="J102" s="326">
        <f>'4. Policy Interactive Screen'!J111/100</f>
        <v>0</v>
      </c>
      <c r="K102" s="326">
        <f>'4. Policy Interactive Screen'!M111/100</f>
        <v>0</v>
      </c>
      <c r="L102" s="314">
        <f t="shared" si="16"/>
        <v>0.4</v>
      </c>
      <c r="M102" s="314">
        <f t="shared" si="16"/>
        <v>0.5</v>
      </c>
      <c r="N102" s="314">
        <f t="shared" si="16"/>
        <v>0.6</v>
      </c>
      <c r="O102" s="314">
        <f t="shared" si="16"/>
        <v>0.7</v>
      </c>
      <c r="P102" s="314">
        <f t="shared" si="16"/>
        <v>0.8</v>
      </c>
      <c r="Q102" s="314">
        <f t="shared" si="16"/>
        <v>0.9</v>
      </c>
      <c r="R102" s="124">
        <v>1</v>
      </c>
    </row>
    <row r="103" spans="1:18" x14ac:dyDescent="0.4">
      <c r="A103" s="113">
        <v>98</v>
      </c>
      <c r="B103" s="121" t="str">
        <f>IF('3. Intervention Details'!B103="","",'3. Intervention Details'!B103)</f>
        <v/>
      </c>
      <c r="C103" s="109">
        <f>IF('3. Intervention Details'!F103="",0,'3. Intervention Details'!F103)</f>
        <v>0</v>
      </c>
      <c r="D103" s="109">
        <f t="shared" si="12"/>
        <v>0</v>
      </c>
      <c r="E103" s="122"/>
      <c r="F103" s="123">
        <f t="shared" si="13"/>
        <v>0</v>
      </c>
      <c r="G103" s="118">
        <f>'4. Policy Interactive Screen'!D112/100</f>
        <v>0</v>
      </c>
      <c r="H103" s="119"/>
      <c r="I103" s="313">
        <f>'4. Policy Interactive Screen'!G112/100</f>
        <v>0</v>
      </c>
      <c r="J103" s="326">
        <f>'4. Policy Interactive Screen'!J112/100</f>
        <v>0</v>
      </c>
      <c r="K103" s="326">
        <f>'4. Policy Interactive Screen'!M112/100</f>
        <v>0</v>
      </c>
      <c r="L103" s="314">
        <f t="shared" si="16"/>
        <v>0.4</v>
      </c>
      <c r="M103" s="314">
        <f t="shared" si="16"/>
        <v>0.5</v>
      </c>
      <c r="N103" s="314">
        <f t="shared" si="16"/>
        <v>0.6</v>
      </c>
      <c r="O103" s="314">
        <f t="shared" si="16"/>
        <v>0.7</v>
      </c>
      <c r="P103" s="314">
        <f t="shared" si="16"/>
        <v>0.8</v>
      </c>
      <c r="Q103" s="314">
        <f t="shared" si="16"/>
        <v>0.9</v>
      </c>
      <c r="R103" s="124">
        <v>1</v>
      </c>
    </row>
    <row r="104" spans="1:18" x14ac:dyDescent="0.4">
      <c r="A104" s="113">
        <v>99</v>
      </c>
      <c r="B104" s="121" t="str">
        <f>IF('3. Intervention Details'!B104="","",'3. Intervention Details'!B104)</f>
        <v/>
      </c>
      <c r="C104" s="109">
        <f>IF('3. Intervention Details'!F104="",0,'3. Intervention Details'!F104)</f>
        <v>0</v>
      </c>
      <c r="D104" s="109">
        <f t="shared" si="12"/>
        <v>0</v>
      </c>
      <c r="E104" s="122"/>
      <c r="F104" s="123">
        <f t="shared" si="13"/>
        <v>0</v>
      </c>
      <c r="G104" s="118">
        <f>'4. Policy Interactive Screen'!D113/100</f>
        <v>0</v>
      </c>
      <c r="H104" s="119"/>
      <c r="I104" s="313">
        <f>'4. Policy Interactive Screen'!G113/100</f>
        <v>0</v>
      </c>
      <c r="J104" s="326">
        <f>'4. Policy Interactive Screen'!J113/100</f>
        <v>0</v>
      </c>
      <c r="K104" s="326">
        <f>'4. Policy Interactive Screen'!M113/100</f>
        <v>0</v>
      </c>
      <c r="L104" s="314">
        <f t="shared" si="16"/>
        <v>0.4</v>
      </c>
      <c r="M104" s="314">
        <f t="shared" si="16"/>
        <v>0.5</v>
      </c>
      <c r="N104" s="314">
        <f t="shared" si="16"/>
        <v>0.6</v>
      </c>
      <c r="O104" s="314">
        <f t="shared" si="16"/>
        <v>0.7</v>
      </c>
      <c r="P104" s="314">
        <f t="shared" si="16"/>
        <v>0.8</v>
      </c>
      <c r="Q104" s="314">
        <f t="shared" si="16"/>
        <v>0.9</v>
      </c>
      <c r="R104" s="124">
        <v>1</v>
      </c>
    </row>
    <row r="105" spans="1:18" x14ac:dyDescent="0.4">
      <c r="A105" s="113">
        <v>100</v>
      </c>
      <c r="B105" s="125" t="str">
        <f>IF('3. Intervention Details'!B105="","",'3. Intervention Details'!B105)</f>
        <v/>
      </c>
      <c r="C105" s="126">
        <f>IF('3. Intervention Details'!F105="",0,'3. Intervention Details'!F105)</f>
        <v>0</v>
      </c>
      <c r="D105" s="126">
        <f t="shared" si="12"/>
        <v>0</v>
      </c>
      <c r="E105" s="127"/>
      <c r="F105" s="128">
        <f t="shared" si="13"/>
        <v>0</v>
      </c>
      <c r="G105" s="118">
        <f>'4. Policy Interactive Screen'!D114/100</f>
        <v>0</v>
      </c>
      <c r="H105" s="119"/>
      <c r="I105" s="313">
        <f>'4. Policy Interactive Screen'!G114/100</f>
        <v>0</v>
      </c>
      <c r="J105" s="326">
        <f>'4. Policy Interactive Screen'!J114/100</f>
        <v>0</v>
      </c>
      <c r="K105" s="326">
        <f>'4. Policy Interactive Screen'!M114/100</f>
        <v>0</v>
      </c>
      <c r="L105" s="120">
        <f t="shared" si="16"/>
        <v>0.4</v>
      </c>
      <c r="M105" s="120">
        <f t="shared" si="16"/>
        <v>0.5</v>
      </c>
      <c r="N105" s="120">
        <f t="shared" si="16"/>
        <v>0.6</v>
      </c>
      <c r="O105" s="120">
        <f t="shared" si="16"/>
        <v>0.7</v>
      </c>
      <c r="P105" s="120">
        <f t="shared" si="16"/>
        <v>0.8</v>
      </c>
      <c r="Q105" s="120">
        <f t="shared" si="16"/>
        <v>0.9</v>
      </c>
      <c r="R105" s="124">
        <v>1</v>
      </c>
    </row>
    <row r="106" spans="1:18" x14ac:dyDescent="0.4">
      <c r="A106" s="113"/>
    </row>
    <row r="107" spans="1:18" x14ac:dyDescent="0.4">
      <c r="A107" s="113"/>
    </row>
    <row r="108" spans="1:18" x14ac:dyDescent="0.4">
      <c r="A108" s="113"/>
    </row>
    <row r="109" spans="1:18" x14ac:dyDescent="0.4">
      <c r="A109" s="113"/>
    </row>
    <row r="110" spans="1:18" x14ac:dyDescent="0.4">
      <c r="A110" s="113"/>
    </row>
    <row r="111" spans="1:18" x14ac:dyDescent="0.4">
      <c r="A111" s="113"/>
    </row>
    <row r="112" spans="1:18" x14ac:dyDescent="0.4">
      <c r="A112" s="113"/>
    </row>
    <row r="113" spans="1:1" x14ac:dyDescent="0.4">
      <c r="A113" s="113"/>
    </row>
    <row r="114" spans="1:1" x14ac:dyDescent="0.4">
      <c r="A114" s="113"/>
    </row>
    <row r="115" spans="1:1" x14ac:dyDescent="0.4">
      <c r="A115" s="113"/>
    </row>
  </sheetData>
  <sheetProtection selectLockedCells="1"/>
  <mergeCells count="2">
    <mergeCell ref="E3:G3"/>
    <mergeCell ref="I3:R3"/>
  </mergeCells>
  <conditionalFormatting sqref="G6:G105">
    <cfRule type="cellIs" dxfId="5" priority="8" operator="greaterThan">
      <formula>1</formula>
    </cfRule>
  </conditionalFormatting>
  <conditionalFormatting sqref="R7:R105">
    <cfRule type="cellIs" dxfId="4" priority="3" operator="greaterThan">
      <formula>1</formula>
    </cfRule>
  </conditionalFormatting>
  <conditionalFormatting sqref="R6">
    <cfRule type="cellIs" dxfId="3" priority="2" operator="greaterThan">
      <formula>1</formula>
    </cfRule>
  </conditionalFormatting>
  <conditionalFormatting sqref="G7:G104">
    <cfRule type="cellIs" dxfId="2" priority="1" operator="greaterThan">
      <formula>1</formula>
    </cfRule>
  </conditionalFormatting>
  <pageMargins left="0.7" right="0.7" top="0.75" bottom="0.75" header="0.3" footer="0.3"/>
  <pageSetup paperSize="9" orientation="portrait" horizontalDpi="4294967293"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93">
    <tabColor theme="8" tint="-0.249977111117893"/>
  </sheetPr>
  <dimension ref="A1:AU113"/>
  <sheetViews>
    <sheetView zoomScale="90" zoomScaleNormal="90" workbookViewId="0">
      <selection activeCell="K6" sqref="K6"/>
    </sheetView>
  </sheetViews>
  <sheetFormatPr defaultColWidth="8.84375" defaultRowHeight="14.6" x14ac:dyDescent="0.4"/>
  <cols>
    <col min="1" max="1" width="5.3046875" style="180" customWidth="1"/>
    <col min="2" max="2" width="42.07421875" customWidth="1"/>
    <col min="3" max="3" width="25.69140625" customWidth="1"/>
    <col min="4" max="7" width="18.4609375" customWidth="1"/>
    <col min="8" max="8" width="16.69140625" customWidth="1"/>
    <col min="9" max="9" width="14.4609375" style="208" customWidth="1"/>
    <col min="10" max="12" width="12.69140625" style="208" customWidth="1"/>
    <col min="35" max="35" width="11.07421875" bestFit="1" customWidth="1"/>
    <col min="39" max="39" width="15.07421875" customWidth="1"/>
    <col min="41" max="41" width="11.07421875" bestFit="1" customWidth="1"/>
    <col min="47" max="47" width="12.84375" customWidth="1"/>
  </cols>
  <sheetData>
    <row r="1" spans="1:47" ht="15" thickBot="1" x14ac:dyDescent="0.45">
      <c r="A1" s="178"/>
      <c r="C1" s="112">
        <v>2</v>
      </c>
      <c r="D1" s="112">
        <v>9</v>
      </c>
      <c r="E1" s="112">
        <v>10</v>
      </c>
      <c r="F1" s="112">
        <v>11</v>
      </c>
      <c r="G1" s="112">
        <v>12</v>
      </c>
      <c r="I1" s="179">
        <v>2</v>
      </c>
      <c r="J1" s="179">
        <v>3</v>
      </c>
      <c r="K1" s="179">
        <v>4</v>
      </c>
      <c r="L1" s="179">
        <v>5</v>
      </c>
    </row>
    <row r="2" spans="1:47" ht="29.6" thickBot="1" x14ac:dyDescent="0.45">
      <c r="B2" s="138"/>
      <c r="C2" s="181" t="s">
        <v>40</v>
      </c>
      <c r="D2" s="181" t="s">
        <v>1020</v>
      </c>
      <c r="E2" s="181" t="s">
        <v>1021</v>
      </c>
      <c r="F2" s="181" t="s">
        <v>1023</v>
      </c>
      <c r="G2" s="181" t="s">
        <v>1024</v>
      </c>
      <c r="H2" s="182" t="s">
        <v>119</v>
      </c>
      <c r="I2" s="183">
        <f>baseline_year</f>
        <v>0</v>
      </c>
      <c r="J2" s="184">
        <f>baseline_year+1</f>
        <v>1</v>
      </c>
      <c r="K2" s="184">
        <f t="shared" ref="K2:L2" si="0">J2+1</f>
        <v>2</v>
      </c>
      <c r="L2" s="184">
        <f t="shared" si="0"/>
        <v>3</v>
      </c>
    </row>
    <row r="3" spans="1:47" ht="15" thickBot="1" x14ac:dyDescent="0.45">
      <c r="A3" s="185"/>
      <c r="B3" s="138"/>
      <c r="C3" s="184"/>
      <c r="D3" s="184"/>
      <c r="E3" s="184"/>
      <c r="F3" s="184"/>
      <c r="G3" s="184"/>
      <c r="H3" s="184"/>
      <c r="I3" s="186"/>
      <c r="J3" s="184"/>
      <c r="K3" s="184"/>
      <c r="L3" s="184"/>
      <c r="AM3" t="str">
        <f>'4. Policy Interactive Screen'!R24</f>
        <v>Reduced HP Implementation</v>
      </c>
    </row>
    <row r="4" spans="1:47" s="18" customFormat="1" ht="15" thickBot="1" x14ac:dyDescent="0.45">
      <c r="A4" s="53"/>
      <c r="B4" s="187" t="s">
        <v>120</v>
      </c>
      <c r="C4" s="188"/>
      <c r="D4" s="188"/>
      <c r="E4" s="188"/>
      <c r="F4" s="188"/>
      <c r="G4" s="188"/>
      <c r="H4" s="188"/>
      <c r="I4" s="189">
        <f>SUM(I6:I105)</f>
        <v>0</v>
      </c>
      <c r="J4" s="190">
        <f t="shared" ref="J4:L4" si="1">SUM(J6:J105)</f>
        <v>0</v>
      </c>
      <c r="K4" s="190">
        <f t="shared" si="1"/>
        <v>0</v>
      </c>
      <c r="L4" s="190">
        <f t="shared" si="1"/>
        <v>0</v>
      </c>
      <c r="AM4" s="18" t="str">
        <f>IF(AM3='CHW drop-downs'!A36,"I",IF(AM3='CHW drop-downs'!A37,"J",IF(AM3='CHW drop-downs'!A38,"K",IF(AM3='CHW drop-downs'!A39,"L",""))))</f>
        <v/>
      </c>
    </row>
    <row r="5" spans="1:47" s="18" customFormat="1" ht="15" thickBot="1" x14ac:dyDescent="0.45">
      <c r="A5" s="53"/>
      <c r="B5" s="187"/>
      <c r="C5" s="188"/>
      <c r="D5" s="188"/>
      <c r="E5" s="188"/>
      <c r="F5" s="188"/>
      <c r="G5" s="188"/>
      <c r="H5" s="188"/>
      <c r="I5" s="191"/>
      <c r="J5" s="188"/>
      <c r="K5" s="188"/>
      <c r="L5" s="188"/>
      <c r="AM5" s="18" t="str">
        <f>IF(AM3='CHW drop-downs'!A36,"D",IF(AM3='CHW drop-downs'!A37,"E",IF(AM3='CHW drop-downs'!A38,"F",IF(AM3='CHW drop-downs'!A39,"G",""))))</f>
        <v/>
      </c>
      <c r="AT5" s="18" t="s">
        <v>1019</v>
      </c>
    </row>
    <row r="6" spans="1:47" s="18" customFormat="1" ht="15" thickBot="1" x14ac:dyDescent="0.45">
      <c r="A6" s="192">
        <v>1</v>
      </c>
      <c r="B6" s="193" t="str">
        <f>IF(Coverage!$B6="","",Coverage!$B6)</f>
        <v/>
      </c>
      <c r="C6" s="194" t="str">
        <f t="shared" ref="C6:C37" si="2">IFERROR((VLOOKUP(B6,lookup_masterlist,C$1,FALSE)),"")</f>
        <v/>
      </c>
      <c r="D6" s="195" t="str">
        <f>Service_Numbers!AA6</f>
        <v/>
      </c>
      <c r="E6" s="195" t="str">
        <f>Service_Numbers!AB6</f>
        <v/>
      </c>
      <c r="F6" s="195" t="str">
        <f>Service_Numbers!AC6</f>
        <v/>
      </c>
      <c r="G6" s="195" t="str">
        <f>Service_Numbers!AD6</f>
        <v>Binome</v>
      </c>
      <c r="H6" s="196">
        <f t="shared" ref="H6:H37" si="3">IF(B6="",0,VLOOKUP(B6,lookup_time_cost,3,FALSE))</f>
        <v>0</v>
      </c>
      <c r="I6" s="202">
        <f>IF('2. CHW Input'!$C$2&lt;&gt;"Policy",$H6*Service_Numbers!L6,IF('4. Policy Interactive Screen'!$D15&gt;0,$H6*Service_Numbers!L6,0))*'3. Intervention Details'!$H6</f>
        <v>0</v>
      </c>
      <c r="J6" s="202">
        <f>IF('2. CHW Input'!$C$2&lt;&gt;"Policy",$H6*Service_Numbers!M6,IF('4. Policy Interactive Screen'!$G15&gt;0,$H6*Service_Numbers!M6,0))*'3. Intervention Details'!$H6</f>
        <v>0</v>
      </c>
      <c r="K6" s="202">
        <f>IF('2. CHW Input'!$C$2&lt;&gt;"Policy",$H6*Service_Numbers!N6,IF('4. Policy Interactive Screen'!$J15&gt;0,$H6*Service_Numbers!N6,0))*'3. Intervention Details'!$H6</f>
        <v>0</v>
      </c>
      <c r="L6" s="197">
        <f>IF('2. CHW Input'!$C$2&lt;&gt;"Policy",$H6*Service_Numbers!O6,IF('4. Policy Interactive Screen'!$G15&gt;0,$H6*Service_Numbers!O6,0))*'3. Intervention Details'!$H6</f>
        <v>0</v>
      </c>
      <c r="AM6" s="18" t="str">
        <f>'4. Policy Interactive Screen'!R23</f>
        <v>MN+</v>
      </c>
      <c r="AT6" s="18" t="e">
        <f ca="1">IF(AO7&gt;0,RANK(AO7,AO$7:AO$106,0),"")</f>
        <v>#REF!</v>
      </c>
      <c r="AU6" s="198" t="str">
        <f t="shared" ref="AU6:AU37" si="4">B6</f>
        <v/>
      </c>
    </row>
    <row r="7" spans="1:47" s="18" customFormat="1" ht="15" thickBot="1" x14ac:dyDescent="0.45">
      <c r="A7" s="192">
        <v>2</v>
      </c>
      <c r="B7" s="199" t="str">
        <f>IF(Coverage!$B7="","",Coverage!$B7)</f>
        <v/>
      </c>
      <c r="C7" s="200" t="str">
        <f t="shared" si="2"/>
        <v/>
      </c>
      <c r="D7" s="195" t="str">
        <f>Service_Numbers!AA7</f>
        <v/>
      </c>
      <c r="E7" s="195" t="str">
        <f>Service_Numbers!AB7</f>
        <v/>
      </c>
      <c r="F7" s="195" t="str">
        <f>Service_Numbers!AC7</f>
        <v/>
      </c>
      <c r="G7" s="195" t="str">
        <f>Service_Numbers!AD7</f>
        <v>Binome</v>
      </c>
      <c r="H7" s="201">
        <f t="shared" si="3"/>
        <v>0</v>
      </c>
      <c r="I7" s="202">
        <f>IF('2. CHW Input'!$C$2&lt;&gt;"Policy",$H7*Service_Numbers!L7,IF('4. Policy Interactive Screen'!$D16&gt;0,$H7*Service_Numbers!L7,0))*'3. Intervention Details'!$H7</f>
        <v>0</v>
      </c>
      <c r="J7" s="202">
        <f>IF('2. CHW Input'!$C$2&lt;&gt;"Policy",$H7*Service_Numbers!M7,IF('4. Policy Interactive Screen'!$G16&gt;0,$H7*Service_Numbers!M7,0))*'3. Intervention Details'!$H7</f>
        <v>0</v>
      </c>
      <c r="K7" s="202">
        <f>IF('2. CHW Input'!$C$2&lt;&gt;"Policy",$H7*Service_Numbers!N7,IF('4. Policy Interactive Screen'!$J16&gt;0,$H7*Service_Numbers!N7,0))*'3. Intervention Details'!$H7</f>
        <v>0</v>
      </c>
      <c r="L7" s="202">
        <f>IF('2. CHW Input'!$C$2&lt;&gt;"Policy",$H7*Service_Numbers!O7,IF('4. Policy Interactive Screen'!$G16&gt;0,$H7*Service_Numbers!O7,0))*'3. Intervention Details'!$H7</f>
        <v>0</v>
      </c>
      <c r="AI7" s="18" t="e">
        <f ca="1">INDIRECT(AM$4&amp;AL7)</f>
        <v>#REF!</v>
      </c>
      <c r="AK7" s="18" t="str">
        <f t="shared" ref="AK7:AK38" si="5">B6</f>
        <v/>
      </c>
      <c r="AL7" s="18">
        <v>6</v>
      </c>
      <c r="AM7" s="18" t="e">
        <f ca="1">IF(AM$6=INDIRECT("$"&amp;AM$5&amp;AL7),INDIRECT(AM$4&amp;AL7),0)</f>
        <v>#REF!</v>
      </c>
      <c r="AN7" s="18">
        <f t="shared" ref="AN7:AN70" ca="1" si="6">COUNTIF(AM$7:AM$23,AM7)</f>
        <v>17</v>
      </c>
      <c r="AO7" s="18" t="e">
        <f ca="1">IF(AN7=1,AM7,IF(AM7&gt;0,AM7+0.00001*RAND(),0))</f>
        <v>#REF!</v>
      </c>
      <c r="AT7" s="18" t="e">
        <f t="shared" ref="AT7:AT70" ca="1" si="7">IF(AO8&gt;0,RANK(AO8,AO$7:AO$106,0),"")</f>
        <v>#REF!</v>
      </c>
      <c r="AU7" s="198" t="str">
        <f t="shared" si="4"/>
        <v/>
      </c>
    </row>
    <row r="8" spans="1:47" s="18" customFormat="1" ht="15" thickBot="1" x14ac:dyDescent="0.45">
      <c r="A8" s="192">
        <v>3</v>
      </c>
      <c r="B8" s="199" t="str">
        <f>IF(Coverage!$B8="","",Coverage!$B8)</f>
        <v/>
      </c>
      <c r="C8" s="200" t="str">
        <f t="shared" si="2"/>
        <v/>
      </c>
      <c r="D8" s="195" t="str">
        <f>Service_Numbers!AA8</f>
        <v/>
      </c>
      <c r="E8" s="195" t="str">
        <f>Service_Numbers!AB8</f>
        <v/>
      </c>
      <c r="F8" s="195" t="str">
        <f>Service_Numbers!AC8</f>
        <v/>
      </c>
      <c r="G8" s="195" t="str">
        <f>Service_Numbers!AD8</f>
        <v>Binome</v>
      </c>
      <c r="H8" s="201">
        <f t="shared" si="3"/>
        <v>0</v>
      </c>
      <c r="I8" s="202">
        <f>IF('2. CHW Input'!$C$2&lt;&gt;"Policy",$H8*Service_Numbers!L8,IF('4. Policy Interactive Screen'!$D17&gt;0,$H8*Service_Numbers!L8,0))*'3. Intervention Details'!$H8</f>
        <v>0</v>
      </c>
      <c r="J8" s="202">
        <f>IF('2. CHW Input'!$C$2&lt;&gt;"Policy",$H8*Service_Numbers!M8,IF('4. Policy Interactive Screen'!$G17&gt;0,$H8*Service_Numbers!M8,0))*'3. Intervention Details'!$H8</f>
        <v>0</v>
      </c>
      <c r="K8" s="202">
        <f>IF('2. CHW Input'!$C$2&lt;&gt;"Policy",$H8*Service_Numbers!N8,IF('4. Policy Interactive Screen'!$J17&gt;0,$H8*Service_Numbers!N8,0))*'3. Intervention Details'!$H8</f>
        <v>0</v>
      </c>
      <c r="L8" s="202">
        <f>IF('2. CHW Input'!$C$2&lt;&gt;"Policy",$H8*Service_Numbers!O8,IF('4. Policy Interactive Screen'!$G17&gt;0,$H8*Service_Numbers!O8,0))*'3. Intervention Details'!$H8</f>
        <v>0</v>
      </c>
      <c r="AI8" s="18" t="e">
        <f t="shared" ref="AI8:AI22" ca="1" si="8">INDIRECT(AM$4&amp;AL8)</f>
        <v>#REF!</v>
      </c>
      <c r="AK8" s="18" t="str">
        <f t="shared" si="5"/>
        <v/>
      </c>
      <c r="AL8" s="18">
        <f>AL7+1</f>
        <v>7</v>
      </c>
      <c r="AM8" s="18" t="e">
        <f t="shared" ref="AM8:AM71" ca="1" si="9">IF(AM$6=INDIRECT("$"&amp;AM$5&amp;AL8),INDIRECT(AM$4&amp;AL8),0)</f>
        <v>#REF!</v>
      </c>
      <c r="AN8" s="18">
        <f t="shared" ca="1" si="6"/>
        <v>17</v>
      </c>
      <c r="AO8" s="18" t="e">
        <f t="shared" ref="AO8:AO71" ca="1" si="10">IF(AN8=1,AM8,IF(AM8&gt;0,AM8+0.00001*RAND(),0))</f>
        <v>#REF!</v>
      </c>
      <c r="AT8" s="18" t="e">
        <f t="shared" ca="1" si="7"/>
        <v>#REF!</v>
      </c>
      <c r="AU8" s="198" t="str">
        <f t="shared" si="4"/>
        <v/>
      </c>
    </row>
    <row r="9" spans="1:47" s="18" customFormat="1" ht="15" thickBot="1" x14ac:dyDescent="0.45">
      <c r="A9" s="192">
        <v>4</v>
      </c>
      <c r="B9" s="199" t="str">
        <f>IF(Coverage!$B9="","",Coverage!$B9)</f>
        <v/>
      </c>
      <c r="C9" s="200" t="str">
        <f t="shared" si="2"/>
        <v/>
      </c>
      <c r="D9" s="195" t="str">
        <f>Service_Numbers!AA9</f>
        <v/>
      </c>
      <c r="E9" s="195" t="str">
        <f>Service_Numbers!AB9</f>
        <v/>
      </c>
      <c r="F9" s="195" t="str">
        <f>Service_Numbers!AC9</f>
        <v/>
      </c>
      <c r="G9" s="195" t="str">
        <f>Service_Numbers!AD9</f>
        <v>Binome</v>
      </c>
      <c r="H9" s="201">
        <f t="shared" si="3"/>
        <v>0</v>
      </c>
      <c r="I9" s="202">
        <f>IF('2. CHW Input'!$C$2&lt;&gt;"Policy",$H9*Service_Numbers!L9,IF('4. Policy Interactive Screen'!$D18&gt;0,$H9*Service_Numbers!L9,0))*'3. Intervention Details'!$H9</f>
        <v>0</v>
      </c>
      <c r="J9" s="202">
        <f>IF('2. CHW Input'!$C$2&lt;&gt;"Policy",$H9*Service_Numbers!M9,IF('4. Policy Interactive Screen'!$G18&gt;0,$H9*Service_Numbers!M9,0))*'3. Intervention Details'!$H9</f>
        <v>0</v>
      </c>
      <c r="K9" s="202">
        <f>IF('2. CHW Input'!$C$2&lt;&gt;"Policy",$H9*Service_Numbers!N9,IF('4. Policy Interactive Screen'!$J18&gt;0,$H9*Service_Numbers!N9,0))*'3. Intervention Details'!$H9</f>
        <v>0</v>
      </c>
      <c r="L9" s="202">
        <f>IF('2. CHW Input'!$C$2&lt;&gt;"Policy",$H9*Service_Numbers!O9,IF('4. Policy Interactive Screen'!$G18&gt;0,$H9*Service_Numbers!O9,0))*'3. Intervention Details'!$H9</f>
        <v>0</v>
      </c>
      <c r="AI9" s="18" t="e">
        <f t="shared" ca="1" si="8"/>
        <v>#REF!</v>
      </c>
      <c r="AK9" s="18" t="str">
        <f t="shared" si="5"/>
        <v/>
      </c>
      <c r="AL9" s="18">
        <f t="shared" ref="AL9:AL72" si="11">AL8+1</f>
        <v>8</v>
      </c>
      <c r="AM9" s="18" t="e">
        <f t="shared" ca="1" si="9"/>
        <v>#REF!</v>
      </c>
      <c r="AN9" s="18">
        <f t="shared" ca="1" si="6"/>
        <v>17</v>
      </c>
      <c r="AO9" s="18" t="e">
        <f t="shared" ca="1" si="10"/>
        <v>#REF!</v>
      </c>
      <c r="AT9" s="18" t="e">
        <f t="shared" ca="1" si="7"/>
        <v>#REF!</v>
      </c>
      <c r="AU9" s="198" t="str">
        <f t="shared" si="4"/>
        <v/>
      </c>
    </row>
    <row r="10" spans="1:47" s="18" customFormat="1" ht="15" thickBot="1" x14ac:dyDescent="0.45">
      <c r="A10" s="192">
        <v>5</v>
      </c>
      <c r="B10" s="199" t="str">
        <f>IF(Coverage!$B10="","",Coverage!$B10)</f>
        <v/>
      </c>
      <c r="C10" s="200" t="str">
        <f t="shared" si="2"/>
        <v/>
      </c>
      <c r="D10" s="195" t="str">
        <f>Service_Numbers!AA10</f>
        <v/>
      </c>
      <c r="E10" s="195" t="str">
        <f>Service_Numbers!AB10</f>
        <v/>
      </c>
      <c r="F10" s="195" t="str">
        <f>Service_Numbers!AC10</f>
        <v/>
      </c>
      <c r="G10" s="195" t="str">
        <f>Service_Numbers!AD10</f>
        <v>Binome</v>
      </c>
      <c r="H10" s="201">
        <f t="shared" si="3"/>
        <v>0</v>
      </c>
      <c r="I10" s="202">
        <f>IF('2. CHW Input'!$C$2&lt;&gt;"Policy",$H10*Service_Numbers!L10,IF('4. Policy Interactive Screen'!$D19&gt;0,$H10*Service_Numbers!L10,0))*'3. Intervention Details'!$H10</f>
        <v>0</v>
      </c>
      <c r="J10" s="202">
        <f>IF('2. CHW Input'!$C$2&lt;&gt;"Policy",$H10*Service_Numbers!M10,IF('4. Policy Interactive Screen'!$G19&gt;0,$H10*Service_Numbers!M10,0))*'3. Intervention Details'!$H10</f>
        <v>0</v>
      </c>
      <c r="K10" s="202">
        <f>IF('2. CHW Input'!$C$2&lt;&gt;"Policy",$H10*Service_Numbers!N10,IF('4. Policy Interactive Screen'!$J19&gt;0,$H10*Service_Numbers!N10,0))*'3. Intervention Details'!$H10</f>
        <v>0</v>
      </c>
      <c r="L10" s="202">
        <f>IF('2. CHW Input'!$C$2&lt;&gt;"Policy",$H10*Service_Numbers!O10,IF('4. Policy Interactive Screen'!$G19&gt;0,$H10*Service_Numbers!O10,0))*'3. Intervention Details'!$H10</f>
        <v>0</v>
      </c>
      <c r="AI10" s="18" t="e">
        <f t="shared" ca="1" si="8"/>
        <v>#REF!</v>
      </c>
      <c r="AK10" s="18" t="str">
        <f t="shared" si="5"/>
        <v/>
      </c>
      <c r="AL10" s="18">
        <f t="shared" si="11"/>
        <v>9</v>
      </c>
      <c r="AM10" s="18" t="e">
        <f t="shared" ca="1" si="9"/>
        <v>#REF!</v>
      </c>
      <c r="AN10" s="18">
        <f t="shared" ca="1" si="6"/>
        <v>17</v>
      </c>
      <c r="AO10" s="18" t="e">
        <f t="shared" ca="1" si="10"/>
        <v>#REF!</v>
      </c>
      <c r="AT10" s="18" t="e">
        <f t="shared" ca="1" si="7"/>
        <v>#REF!</v>
      </c>
      <c r="AU10" s="198" t="str">
        <f t="shared" si="4"/>
        <v/>
      </c>
    </row>
    <row r="11" spans="1:47" s="18" customFormat="1" ht="15" thickBot="1" x14ac:dyDescent="0.45">
      <c r="A11" s="192">
        <v>6</v>
      </c>
      <c r="B11" s="199" t="str">
        <f>IF(Coverage!$B11="","",Coverage!$B11)</f>
        <v/>
      </c>
      <c r="C11" s="200" t="str">
        <f t="shared" si="2"/>
        <v/>
      </c>
      <c r="D11" s="195" t="str">
        <f>Service_Numbers!AA11</f>
        <v/>
      </c>
      <c r="E11" s="195" t="str">
        <f>Service_Numbers!AB11</f>
        <v/>
      </c>
      <c r="F11" s="195" t="str">
        <f>Service_Numbers!AC11</f>
        <v/>
      </c>
      <c r="G11" s="195" t="str">
        <f>Service_Numbers!AD11</f>
        <v>ASM</v>
      </c>
      <c r="H11" s="201">
        <f t="shared" si="3"/>
        <v>0</v>
      </c>
      <c r="I11" s="202">
        <f>IF('2. CHW Input'!$C$2&lt;&gt;"Policy",$H11*Service_Numbers!L11,IF('4. Policy Interactive Screen'!$D20&gt;0,$H11*Service_Numbers!L11,0))*'3. Intervention Details'!$H11</f>
        <v>0</v>
      </c>
      <c r="J11" s="202">
        <f>IF('2. CHW Input'!$C$2&lt;&gt;"Policy",$H11*Service_Numbers!M11,IF('4. Policy Interactive Screen'!$G20&gt;0,$H11*Service_Numbers!M11,0))*'3. Intervention Details'!$H11</f>
        <v>0</v>
      </c>
      <c r="K11" s="202">
        <f>IF('2. CHW Input'!$C$2&lt;&gt;"Policy",$H11*Service_Numbers!N11,IF('4. Policy Interactive Screen'!$J20&gt;0,$H11*Service_Numbers!N11,0))*'3. Intervention Details'!$H11</f>
        <v>0</v>
      </c>
      <c r="L11" s="202">
        <f>IF('2. CHW Input'!$C$2&lt;&gt;"Policy",$H11*Service_Numbers!O11,IF('4. Policy Interactive Screen'!$G20&gt;0,$H11*Service_Numbers!O11,0))*'3. Intervention Details'!$H11</f>
        <v>0</v>
      </c>
      <c r="AI11" s="18" t="e">
        <f t="shared" ca="1" si="8"/>
        <v>#REF!</v>
      </c>
      <c r="AK11" s="18" t="str">
        <f t="shared" si="5"/>
        <v/>
      </c>
      <c r="AL11" s="18">
        <f t="shared" si="11"/>
        <v>10</v>
      </c>
      <c r="AM11" s="18" t="e">
        <f t="shared" ca="1" si="9"/>
        <v>#REF!</v>
      </c>
      <c r="AN11" s="18">
        <f t="shared" ca="1" si="6"/>
        <v>17</v>
      </c>
      <c r="AO11" s="18" t="e">
        <f t="shared" ca="1" si="10"/>
        <v>#REF!</v>
      </c>
      <c r="AT11" s="18" t="e">
        <f t="shared" ca="1" si="7"/>
        <v>#REF!</v>
      </c>
      <c r="AU11" s="198" t="str">
        <f t="shared" si="4"/>
        <v/>
      </c>
    </row>
    <row r="12" spans="1:47" s="18" customFormat="1" ht="15" thickBot="1" x14ac:dyDescent="0.45">
      <c r="A12" s="192">
        <v>7</v>
      </c>
      <c r="B12" s="199" t="str">
        <f>IF(Coverage!$B12="","",Coverage!$B12)</f>
        <v/>
      </c>
      <c r="C12" s="200" t="str">
        <f t="shared" si="2"/>
        <v/>
      </c>
      <c r="D12" s="195" t="str">
        <f>Service_Numbers!AA12</f>
        <v/>
      </c>
      <c r="E12" s="195" t="str">
        <f>Service_Numbers!AB12</f>
        <v/>
      </c>
      <c r="F12" s="195" t="str">
        <f>Service_Numbers!AC12</f>
        <v/>
      </c>
      <c r="G12" s="195" t="str">
        <f>Service_Numbers!AD12</f>
        <v>Binome</v>
      </c>
      <c r="H12" s="201">
        <f t="shared" si="3"/>
        <v>0</v>
      </c>
      <c r="I12" s="202">
        <f>IF('2. CHW Input'!$C$2&lt;&gt;"Policy",$H12*Service_Numbers!L12,IF('4. Policy Interactive Screen'!$D21&gt;0,$H12*Service_Numbers!L12,0))*'3. Intervention Details'!$H12</f>
        <v>0</v>
      </c>
      <c r="J12" s="202">
        <f>IF('2. CHW Input'!$C$2&lt;&gt;"Policy",$H12*Service_Numbers!M12,IF('4. Policy Interactive Screen'!$G21&gt;0,$H12*Service_Numbers!M12,0))*'3. Intervention Details'!$H12</f>
        <v>0</v>
      </c>
      <c r="K12" s="202">
        <f>IF('2. CHW Input'!$C$2&lt;&gt;"Policy",$H12*Service_Numbers!N12,IF('4. Policy Interactive Screen'!$J21&gt;0,$H12*Service_Numbers!N12,0))*'3. Intervention Details'!$H12</f>
        <v>0</v>
      </c>
      <c r="L12" s="202">
        <f>IF('2. CHW Input'!$C$2&lt;&gt;"Policy",$H12*Service_Numbers!O12,IF('4. Policy Interactive Screen'!$G21&gt;0,$H12*Service_Numbers!O12,0))*'3. Intervention Details'!$H12</f>
        <v>0</v>
      </c>
      <c r="AI12" s="18" t="e">
        <f t="shared" ca="1" si="8"/>
        <v>#REF!</v>
      </c>
      <c r="AK12" s="18" t="str">
        <f t="shared" si="5"/>
        <v/>
      </c>
      <c r="AL12" s="18">
        <f t="shared" si="11"/>
        <v>11</v>
      </c>
      <c r="AM12" s="18" t="e">
        <f t="shared" ca="1" si="9"/>
        <v>#REF!</v>
      </c>
      <c r="AN12" s="18">
        <f t="shared" ca="1" si="6"/>
        <v>17</v>
      </c>
      <c r="AO12" s="18" t="e">
        <f t="shared" ca="1" si="10"/>
        <v>#REF!</v>
      </c>
      <c r="AT12" s="18" t="e">
        <f t="shared" ca="1" si="7"/>
        <v>#REF!</v>
      </c>
      <c r="AU12" s="198" t="str">
        <f t="shared" si="4"/>
        <v/>
      </c>
    </row>
    <row r="13" spans="1:47" s="18" customFormat="1" ht="15" thickBot="1" x14ac:dyDescent="0.45">
      <c r="A13" s="192">
        <v>8</v>
      </c>
      <c r="B13" s="199" t="str">
        <f>IF(Coverage!$B13="","",Coverage!$B13)</f>
        <v/>
      </c>
      <c r="C13" s="200" t="str">
        <f t="shared" si="2"/>
        <v/>
      </c>
      <c r="D13" s="195" t="str">
        <f>Service_Numbers!AA13</f>
        <v/>
      </c>
      <c r="E13" s="195" t="str">
        <f>Service_Numbers!AB13</f>
        <v/>
      </c>
      <c r="F13" s="195" t="str">
        <f>Service_Numbers!AC13</f>
        <v/>
      </c>
      <c r="G13" s="195" t="str">
        <f>Service_Numbers!AD13</f>
        <v>ASM</v>
      </c>
      <c r="H13" s="201">
        <f t="shared" si="3"/>
        <v>0</v>
      </c>
      <c r="I13" s="202">
        <f>IF('2. CHW Input'!$C$2&lt;&gt;"Policy",$H13*Service_Numbers!L13,IF('4. Policy Interactive Screen'!$D22&gt;0,$H13*Service_Numbers!L13,0))*'3. Intervention Details'!$H13</f>
        <v>0</v>
      </c>
      <c r="J13" s="202">
        <f>IF('2. CHW Input'!$C$2&lt;&gt;"Policy",$H13*Service_Numbers!M13,IF('4. Policy Interactive Screen'!$G22&gt;0,$H13*Service_Numbers!M13,0))*'3. Intervention Details'!$H13</f>
        <v>0</v>
      </c>
      <c r="K13" s="202">
        <f>IF('2. CHW Input'!$C$2&lt;&gt;"Policy",$H13*Service_Numbers!N13,IF('4. Policy Interactive Screen'!$J22&gt;0,$H13*Service_Numbers!N13,0))*'3. Intervention Details'!$H13</f>
        <v>0</v>
      </c>
      <c r="L13" s="202">
        <f>IF('2. CHW Input'!$C$2&lt;&gt;"Policy",$H13*Service_Numbers!O13,IF('4. Policy Interactive Screen'!$G22&gt;0,$H13*Service_Numbers!O13,0))*'3. Intervention Details'!$H13</f>
        <v>0</v>
      </c>
      <c r="AI13" s="18" t="e">
        <f t="shared" ca="1" si="8"/>
        <v>#REF!</v>
      </c>
      <c r="AK13" s="18" t="str">
        <f t="shared" si="5"/>
        <v/>
      </c>
      <c r="AL13" s="18">
        <f t="shared" si="11"/>
        <v>12</v>
      </c>
      <c r="AM13" s="18" t="e">
        <f t="shared" ca="1" si="9"/>
        <v>#REF!</v>
      </c>
      <c r="AN13" s="18">
        <f t="shared" ca="1" si="6"/>
        <v>17</v>
      </c>
      <c r="AO13" s="18" t="e">
        <f t="shared" ca="1" si="10"/>
        <v>#REF!</v>
      </c>
      <c r="AT13" s="18" t="e">
        <f t="shared" ca="1" si="7"/>
        <v>#REF!</v>
      </c>
      <c r="AU13" s="198" t="str">
        <f t="shared" si="4"/>
        <v/>
      </c>
    </row>
    <row r="14" spans="1:47" s="18" customFormat="1" ht="15" thickBot="1" x14ac:dyDescent="0.45">
      <c r="A14" s="192">
        <v>9</v>
      </c>
      <c r="B14" s="199" t="str">
        <f>IF(Coverage!$B14="","",Coverage!$B14)</f>
        <v/>
      </c>
      <c r="C14" s="200" t="str">
        <f t="shared" si="2"/>
        <v/>
      </c>
      <c r="D14" s="195" t="str">
        <f>Service_Numbers!AA14</f>
        <v/>
      </c>
      <c r="E14" s="195" t="str">
        <f>Service_Numbers!AB14</f>
        <v/>
      </c>
      <c r="F14" s="195" t="str">
        <f>Service_Numbers!AC14</f>
        <v/>
      </c>
      <c r="G14" s="195" t="str">
        <f>Service_Numbers!AD14</f>
        <v>ASM</v>
      </c>
      <c r="H14" s="201">
        <f t="shared" si="3"/>
        <v>0</v>
      </c>
      <c r="I14" s="202">
        <f>IF('2. CHW Input'!$C$2&lt;&gt;"Policy",$H14*Service_Numbers!L14,IF('4. Policy Interactive Screen'!$D23&gt;0,$H14*Service_Numbers!L14,0))*'3. Intervention Details'!$H14</f>
        <v>0</v>
      </c>
      <c r="J14" s="202">
        <f>IF('2. CHW Input'!$C$2&lt;&gt;"Policy",$H14*Service_Numbers!M14,IF('4. Policy Interactive Screen'!$G23&gt;0,$H14*Service_Numbers!M14,0))*'3. Intervention Details'!$H14</f>
        <v>0</v>
      </c>
      <c r="K14" s="202">
        <f>IF('2. CHW Input'!$C$2&lt;&gt;"Policy",$H14*Service_Numbers!N14,IF('4. Policy Interactive Screen'!$J23&gt;0,$H14*Service_Numbers!N14,0))*'3. Intervention Details'!$H14</f>
        <v>0</v>
      </c>
      <c r="L14" s="202">
        <f>IF('2. CHW Input'!$C$2&lt;&gt;"Policy",$H14*Service_Numbers!O14,IF('4. Policy Interactive Screen'!$G23&gt;0,$H14*Service_Numbers!O14,0))*'3. Intervention Details'!$H14</f>
        <v>0</v>
      </c>
      <c r="AI14" s="18" t="e">
        <f t="shared" ca="1" si="8"/>
        <v>#REF!</v>
      </c>
      <c r="AK14" s="18" t="str">
        <f t="shared" si="5"/>
        <v/>
      </c>
      <c r="AL14" s="18">
        <f t="shared" si="11"/>
        <v>13</v>
      </c>
      <c r="AM14" s="18" t="e">
        <f t="shared" ca="1" si="9"/>
        <v>#REF!</v>
      </c>
      <c r="AN14" s="18">
        <f t="shared" ca="1" si="6"/>
        <v>17</v>
      </c>
      <c r="AO14" s="18" t="e">
        <f t="shared" ca="1" si="10"/>
        <v>#REF!</v>
      </c>
      <c r="AT14" s="18" t="e">
        <f t="shared" ca="1" si="7"/>
        <v>#REF!</v>
      </c>
      <c r="AU14" s="198" t="str">
        <f t="shared" si="4"/>
        <v/>
      </c>
    </row>
    <row r="15" spans="1:47" s="18" customFormat="1" ht="15" thickBot="1" x14ac:dyDescent="0.45">
      <c r="A15" s="192">
        <v>10</v>
      </c>
      <c r="B15" s="199" t="str">
        <f>IF(Coverage!$B15="","",Coverage!$B15)</f>
        <v/>
      </c>
      <c r="C15" s="200" t="str">
        <f t="shared" si="2"/>
        <v/>
      </c>
      <c r="D15" s="195" t="str">
        <f>Service_Numbers!AA15</f>
        <v/>
      </c>
      <c r="E15" s="195" t="str">
        <f>Service_Numbers!AB15</f>
        <v/>
      </c>
      <c r="F15" s="195" t="str">
        <f>Service_Numbers!AC15</f>
        <v/>
      </c>
      <c r="G15" s="195" t="str">
        <f>Service_Numbers!AD15</f>
        <v>ASM</v>
      </c>
      <c r="H15" s="201">
        <f t="shared" si="3"/>
        <v>0</v>
      </c>
      <c r="I15" s="202">
        <f>IF('2. CHW Input'!$C$2&lt;&gt;"Policy",$H15*Service_Numbers!L15,IF('4. Policy Interactive Screen'!$D24&gt;0,$H15*Service_Numbers!L15,0))*'3. Intervention Details'!$H15</f>
        <v>0</v>
      </c>
      <c r="J15" s="202">
        <f>IF('2. CHW Input'!$C$2&lt;&gt;"Policy",$H15*Service_Numbers!M15,IF('4. Policy Interactive Screen'!$G24&gt;0,$H15*Service_Numbers!M15,0))*'3. Intervention Details'!$H15</f>
        <v>0</v>
      </c>
      <c r="K15" s="202">
        <f>IF('2. CHW Input'!$C$2&lt;&gt;"Policy",$H15*Service_Numbers!N15,IF('4. Policy Interactive Screen'!$J24&gt;0,$H15*Service_Numbers!N15,0))*'3. Intervention Details'!$H15</f>
        <v>0</v>
      </c>
      <c r="L15" s="202">
        <f>IF('2. CHW Input'!$C$2&lt;&gt;"Policy",$H15*Service_Numbers!O15,IF('4. Policy Interactive Screen'!$G24&gt;0,$H15*Service_Numbers!O15,0))*'3. Intervention Details'!$H15</f>
        <v>0</v>
      </c>
      <c r="AI15" s="18" t="e">
        <f t="shared" ca="1" si="8"/>
        <v>#REF!</v>
      </c>
      <c r="AK15" s="18" t="str">
        <f t="shared" si="5"/>
        <v/>
      </c>
      <c r="AL15" s="18">
        <f t="shared" si="11"/>
        <v>14</v>
      </c>
      <c r="AM15" s="18" t="e">
        <f t="shared" ca="1" si="9"/>
        <v>#REF!</v>
      </c>
      <c r="AN15" s="18">
        <f t="shared" ca="1" si="6"/>
        <v>17</v>
      </c>
      <c r="AO15" s="18" t="e">
        <f t="shared" ca="1" si="10"/>
        <v>#REF!</v>
      </c>
      <c r="AT15" s="18" t="e">
        <f t="shared" ca="1" si="7"/>
        <v>#REF!</v>
      </c>
      <c r="AU15" s="198" t="str">
        <f t="shared" si="4"/>
        <v/>
      </c>
    </row>
    <row r="16" spans="1:47" s="18" customFormat="1" ht="15" thickBot="1" x14ac:dyDescent="0.45">
      <c r="A16" s="192">
        <v>11</v>
      </c>
      <c r="B16" s="199" t="str">
        <f>IF(Coverage!$B16="","",Coverage!$B16)</f>
        <v/>
      </c>
      <c r="C16" s="200" t="str">
        <f t="shared" si="2"/>
        <v/>
      </c>
      <c r="D16" s="195" t="str">
        <f>Service_Numbers!AA16</f>
        <v/>
      </c>
      <c r="E16" s="195" t="str">
        <f>Service_Numbers!AB16</f>
        <v/>
      </c>
      <c r="F16" s="195" t="str">
        <f>Service_Numbers!AC16</f>
        <v/>
      </c>
      <c r="G16" s="195" t="str">
        <f>Service_Numbers!AD16</f>
        <v>ASM</v>
      </c>
      <c r="H16" s="201">
        <f t="shared" si="3"/>
        <v>0</v>
      </c>
      <c r="I16" s="202">
        <f>IF('2. CHW Input'!$C$2&lt;&gt;"Policy",$H16*Service_Numbers!L16,IF('4. Policy Interactive Screen'!$D25&gt;0,$H16*Service_Numbers!L16,0))*'3. Intervention Details'!$H16</f>
        <v>0</v>
      </c>
      <c r="J16" s="202">
        <f>IF('2. CHW Input'!$C$2&lt;&gt;"Policy",$H16*Service_Numbers!M16,IF('4. Policy Interactive Screen'!$G25&gt;0,$H16*Service_Numbers!M16,0))*'3. Intervention Details'!$H16</f>
        <v>0</v>
      </c>
      <c r="K16" s="202">
        <f>IF('2. CHW Input'!$C$2&lt;&gt;"Policy",$H16*Service_Numbers!N16,IF('4. Policy Interactive Screen'!$J25&gt;0,$H16*Service_Numbers!N16,0))*'3. Intervention Details'!$H16</f>
        <v>0</v>
      </c>
      <c r="L16" s="202">
        <f>IF('2. CHW Input'!$C$2&lt;&gt;"Policy",$H16*Service_Numbers!O16,IF('4. Policy Interactive Screen'!$G25&gt;0,$H16*Service_Numbers!O16,0))*'3. Intervention Details'!$H16</f>
        <v>0</v>
      </c>
      <c r="AI16" s="18" t="e">
        <f t="shared" ca="1" si="8"/>
        <v>#REF!</v>
      </c>
      <c r="AK16" s="18" t="str">
        <f t="shared" si="5"/>
        <v/>
      </c>
      <c r="AL16" s="18">
        <f t="shared" si="11"/>
        <v>15</v>
      </c>
      <c r="AM16" s="18" t="e">
        <f t="shared" ca="1" si="9"/>
        <v>#REF!</v>
      </c>
      <c r="AN16" s="18">
        <f t="shared" ca="1" si="6"/>
        <v>17</v>
      </c>
      <c r="AO16" s="18" t="e">
        <f t="shared" ca="1" si="10"/>
        <v>#REF!</v>
      </c>
      <c r="AT16" s="18" t="e">
        <f t="shared" ca="1" si="7"/>
        <v>#REF!</v>
      </c>
      <c r="AU16" s="198" t="str">
        <f t="shared" si="4"/>
        <v/>
      </c>
    </row>
    <row r="17" spans="1:47" s="18" customFormat="1" ht="15" thickBot="1" x14ac:dyDescent="0.45">
      <c r="A17" s="192">
        <v>12</v>
      </c>
      <c r="B17" s="199" t="str">
        <f>IF(Coverage!$B17="","",Coverage!$B17)</f>
        <v/>
      </c>
      <c r="C17" s="200" t="str">
        <f t="shared" si="2"/>
        <v/>
      </c>
      <c r="D17" s="195" t="str">
        <f>Service_Numbers!AA17</f>
        <v/>
      </c>
      <c r="E17" s="195" t="str">
        <f>Service_Numbers!AB17</f>
        <v/>
      </c>
      <c r="F17" s="195" t="str">
        <f>Service_Numbers!AC17</f>
        <v/>
      </c>
      <c r="G17" s="195" t="str">
        <f>Service_Numbers!AD17</f>
        <v>ASM</v>
      </c>
      <c r="H17" s="201">
        <f t="shared" si="3"/>
        <v>0</v>
      </c>
      <c r="I17" s="202">
        <f>IF('2. CHW Input'!$C$2&lt;&gt;"Policy",$H17*Service_Numbers!L17,IF('4. Policy Interactive Screen'!$D26&gt;0,$H17*Service_Numbers!L17,0))*'3. Intervention Details'!$H17</f>
        <v>0</v>
      </c>
      <c r="J17" s="202">
        <f>IF('2. CHW Input'!$C$2&lt;&gt;"Policy",$H17*Service_Numbers!M17,IF('4. Policy Interactive Screen'!$G26&gt;0,$H17*Service_Numbers!M17,0))*'3. Intervention Details'!$H17</f>
        <v>0</v>
      </c>
      <c r="K17" s="202">
        <f>IF('2. CHW Input'!$C$2&lt;&gt;"Policy",$H17*Service_Numbers!N17,IF('4. Policy Interactive Screen'!$J26&gt;0,$H17*Service_Numbers!N17,0))*'3. Intervention Details'!$H17</f>
        <v>0</v>
      </c>
      <c r="L17" s="202">
        <f>IF('2. CHW Input'!$C$2&lt;&gt;"Policy",$H17*Service_Numbers!O17,IF('4. Policy Interactive Screen'!$G26&gt;0,$H17*Service_Numbers!O17,0))*'3. Intervention Details'!$H17</f>
        <v>0</v>
      </c>
      <c r="AI17" s="18" t="e">
        <f t="shared" ca="1" si="8"/>
        <v>#REF!</v>
      </c>
      <c r="AK17" s="18" t="str">
        <f t="shared" si="5"/>
        <v/>
      </c>
      <c r="AL17" s="18">
        <f t="shared" si="11"/>
        <v>16</v>
      </c>
      <c r="AM17" s="18" t="e">
        <f t="shared" ca="1" si="9"/>
        <v>#REF!</v>
      </c>
      <c r="AN17" s="18">
        <f t="shared" ca="1" si="6"/>
        <v>17</v>
      </c>
      <c r="AO17" s="18" t="e">
        <f t="shared" ca="1" si="10"/>
        <v>#REF!</v>
      </c>
      <c r="AT17" s="18" t="e">
        <f t="shared" ca="1" si="7"/>
        <v>#REF!</v>
      </c>
      <c r="AU17" s="198" t="str">
        <f t="shared" si="4"/>
        <v/>
      </c>
    </row>
    <row r="18" spans="1:47" s="18" customFormat="1" ht="15" thickBot="1" x14ac:dyDescent="0.45">
      <c r="A18" s="192">
        <v>13</v>
      </c>
      <c r="B18" s="199" t="str">
        <f>IF(Coverage!$B18="","",Coverage!$B18)</f>
        <v/>
      </c>
      <c r="C18" s="200" t="str">
        <f t="shared" si="2"/>
        <v/>
      </c>
      <c r="D18" s="195" t="str">
        <f>Service_Numbers!AA18</f>
        <v/>
      </c>
      <c r="E18" s="195" t="str">
        <f>Service_Numbers!AB18</f>
        <v/>
      </c>
      <c r="F18" s="195" t="str">
        <f>Service_Numbers!AC18</f>
        <v/>
      </c>
      <c r="G18" s="195" t="str">
        <f>Service_Numbers!AD18</f>
        <v>ASM</v>
      </c>
      <c r="H18" s="201">
        <f t="shared" si="3"/>
        <v>0</v>
      </c>
      <c r="I18" s="202">
        <f>IF('2. CHW Input'!$C$2&lt;&gt;"Policy",$H18*Service_Numbers!L18,IF('4. Policy Interactive Screen'!$D27&gt;0,$H18*Service_Numbers!L18,0))*'3. Intervention Details'!$H18</f>
        <v>0</v>
      </c>
      <c r="J18" s="202">
        <f>IF('2. CHW Input'!$C$2&lt;&gt;"Policy",$H18*Service_Numbers!M18,IF('4. Policy Interactive Screen'!$G27&gt;0,$H18*Service_Numbers!M18,0))*'3. Intervention Details'!$H18</f>
        <v>0</v>
      </c>
      <c r="K18" s="202">
        <f>IF('2. CHW Input'!$C$2&lt;&gt;"Policy",$H18*Service_Numbers!N18,IF('4. Policy Interactive Screen'!$J27&gt;0,$H18*Service_Numbers!N18,0))*'3. Intervention Details'!$H18</f>
        <v>0</v>
      </c>
      <c r="L18" s="202">
        <f>IF('2. CHW Input'!$C$2&lt;&gt;"Policy",$H18*Service_Numbers!O18,IF('4. Policy Interactive Screen'!$G27&gt;0,$H18*Service_Numbers!O18,0))*'3. Intervention Details'!$H18</f>
        <v>0</v>
      </c>
      <c r="AI18" s="18" t="e">
        <f t="shared" ca="1" si="8"/>
        <v>#REF!</v>
      </c>
      <c r="AK18" s="18" t="str">
        <f t="shared" si="5"/>
        <v/>
      </c>
      <c r="AL18" s="18">
        <f t="shared" si="11"/>
        <v>17</v>
      </c>
      <c r="AM18" s="18" t="e">
        <f t="shared" ca="1" si="9"/>
        <v>#REF!</v>
      </c>
      <c r="AN18" s="18">
        <f t="shared" ca="1" si="6"/>
        <v>17</v>
      </c>
      <c r="AO18" s="18" t="e">
        <f t="shared" ca="1" si="10"/>
        <v>#REF!</v>
      </c>
      <c r="AT18" s="18" t="e">
        <f t="shared" ca="1" si="7"/>
        <v>#REF!</v>
      </c>
      <c r="AU18" s="198" t="str">
        <f t="shared" si="4"/>
        <v/>
      </c>
    </row>
    <row r="19" spans="1:47" ht="15" thickBot="1" x14ac:dyDescent="0.45">
      <c r="A19" s="203">
        <v>14</v>
      </c>
      <c r="B19" s="204" t="str">
        <f>IF(Coverage!$B19="","",Coverage!$B19)</f>
        <v/>
      </c>
      <c r="C19" s="34" t="str">
        <f t="shared" si="2"/>
        <v/>
      </c>
      <c r="D19" s="195" t="str">
        <f>Service_Numbers!AA19</f>
        <v/>
      </c>
      <c r="E19" s="195" t="str">
        <f>Service_Numbers!AB19</f>
        <v/>
      </c>
      <c r="F19" s="195" t="str">
        <f>Service_Numbers!AC19</f>
        <v/>
      </c>
      <c r="G19" s="195" t="str">
        <f>Service_Numbers!AD19</f>
        <v>ASM</v>
      </c>
      <c r="H19" s="49">
        <f t="shared" si="3"/>
        <v>0</v>
      </c>
      <c r="I19" s="202">
        <f>IF('2. CHW Input'!$C$2&lt;&gt;"Policy",$H19*Service_Numbers!L19,IF('4. Policy Interactive Screen'!$D28&gt;0,$H19*Service_Numbers!L19,0))*'3. Intervention Details'!$H19</f>
        <v>0</v>
      </c>
      <c r="J19" s="202">
        <f>IF('2. CHW Input'!$C$2&lt;&gt;"Policy",$H19*Service_Numbers!M19,IF('4. Policy Interactive Screen'!$G28&gt;0,$H19*Service_Numbers!M19,0))*'3. Intervention Details'!$H19</f>
        <v>0</v>
      </c>
      <c r="K19" s="202">
        <f>IF('2. CHW Input'!$C$2&lt;&gt;"Policy",$H19*Service_Numbers!N19,IF('4. Policy Interactive Screen'!$J28&gt;0,$H19*Service_Numbers!N19,0))*'3. Intervention Details'!$H19</f>
        <v>0</v>
      </c>
      <c r="L19" s="202">
        <f>IF('2. CHW Input'!$C$2&lt;&gt;"Policy",$H19*Service_Numbers!O19,IF('4. Policy Interactive Screen'!$G28&gt;0,$H19*Service_Numbers!O19,0))*'3. Intervention Details'!$H19</f>
        <v>0</v>
      </c>
      <c r="AI19" s="18" t="e">
        <f t="shared" ca="1" si="8"/>
        <v>#REF!</v>
      </c>
      <c r="AJ19" s="18"/>
      <c r="AK19" s="18" t="str">
        <f t="shared" si="5"/>
        <v/>
      </c>
      <c r="AL19" s="18">
        <f t="shared" si="11"/>
        <v>18</v>
      </c>
      <c r="AM19" s="18" t="e">
        <f t="shared" ca="1" si="9"/>
        <v>#REF!</v>
      </c>
      <c r="AN19" s="18">
        <f t="shared" ca="1" si="6"/>
        <v>17</v>
      </c>
      <c r="AO19" s="18" t="e">
        <f t="shared" ca="1" si="10"/>
        <v>#REF!</v>
      </c>
      <c r="AP19" s="18"/>
      <c r="AQ19" s="18"/>
      <c r="AR19" s="18"/>
      <c r="AT19" s="18" t="e">
        <f t="shared" ca="1" si="7"/>
        <v>#REF!</v>
      </c>
      <c r="AU19" s="198" t="str">
        <f t="shared" si="4"/>
        <v/>
      </c>
    </row>
    <row r="20" spans="1:47" ht="15" thickBot="1" x14ac:dyDescent="0.45">
      <c r="A20" s="203">
        <v>15</v>
      </c>
      <c r="B20" s="204" t="str">
        <f>IF(Coverage!$B20="","",Coverage!$B20)</f>
        <v/>
      </c>
      <c r="C20" s="34" t="str">
        <f t="shared" si="2"/>
        <v/>
      </c>
      <c r="D20" s="195" t="str">
        <f>Service_Numbers!AA20</f>
        <v/>
      </c>
      <c r="E20" s="195" t="str">
        <f>Service_Numbers!AB20</f>
        <v/>
      </c>
      <c r="F20" s="195" t="str">
        <f>Service_Numbers!AC20</f>
        <v/>
      </c>
      <c r="G20" s="195" t="str">
        <f>Service_Numbers!AD20</f>
        <v>ASM</v>
      </c>
      <c r="H20" s="49">
        <f t="shared" si="3"/>
        <v>0</v>
      </c>
      <c r="I20" s="202">
        <f>IF('2. CHW Input'!$C$2&lt;&gt;"Policy",$H20*Service_Numbers!L20,IF('4. Policy Interactive Screen'!$D29&gt;0,$H20*Service_Numbers!L20,0))*'3. Intervention Details'!$H20</f>
        <v>0</v>
      </c>
      <c r="J20" s="202">
        <f>IF('2. CHW Input'!$C$2&lt;&gt;"Policy",$H20*Service_Numbers!M20,IF('4. Policy Interactive Screen'!$G29&gt;0,$H20*Service_Numbers!M20,0))*'3. Intervention Details'!$H20</f>
        <v>0</v>
      </c>
      <c r="K20" s="202">
        <f>IF('2. CHW Input'!$C$2&lt;&gt;"Policy",$H20*Service_Numbers!N20,IF('4. Policy Interactive Screen'!$J29&gt;0,$H20*Service_Numbers!N20,0))*'3. Intervention Details'!$H20</f>
        <v>0</v>
      </c>
      <c r="L20" s="202">
        <f>IF('2. CHW Input'!$C$2&lt;&gt;"Policy",$H20*Service_Numbers!O20,IF('4. Policy Interactive Screen'!$G29&gt;0,$H20*Service_Numbers!O20,0))*'3. Intervention Details'!$H20</f>
        <v>0</v>
      </c>
      <c r="AI20" s="18" t="e">
        <f t="shared" ca="1" si="8"/>
        <v>#REF!</v>
      </c>
      <c r="AK20" s="18" t="str">
        <f t="shared" si="5"/>
        <v/>
      </c>
      <c r="AL20" s="18">
        <f t="shared" si="11"/>
        <v>19</v>
      </c>
      <c r="AM20" s="18" t="e">
        <f t="shared" ca="1" si="9"/>
        <v>#REF!</v>
      </c>
      <c r="AN20" s="18">
        <f t="shared" ca="1" si="6"/>
        <v>17</v>
      </c>
      <c r="AO20" s="18" t="e">
        <f t="shared" ca="1" si="10"/>
        <v>#REF!</v>
      </c>
      <c r="AP20" s="18"/>
      <c r="AQ20" s="18"/>
      <c r="AR20" s="18"/>
      <c r="AT20" s="18" t="e">
        <f t="shared" ca="1" si="7"/>
        <v>#REF!</v>
      </c>
      <c r="AU20" s="198" t="str">
        <f t="shared" si="4"/>
        <v/>
      </c>
    </row>
    <row r="21" spans="1:47" ht="15" thickBot="1" x14ac:dyDescent="0.45">
      <c r="A21" s="203">
        <v>16</v>
      </c>
      <c r="B21" s="204" t="str">
        <f>IF(Coverage!$B21="","",Coverage!$B21)</f>
        <v/>
      </c>
      <c r="C21" s="34" t="str">
        <f t="shared" si="2"/>
        <v/>
      </c>
      <c r="D21" s="195" t="str">
        <f>Service_Numbers!AA21</f>
        <v/>
      </c>
      <c r="E21" s="195" t="str">
        <f>Service_Numbers!AB21</f>
        <v/>
      </c>
      <c r="F21" s="195" t="str">
        <f>Service_Numbers!AC21</f>
        <v/>
      </c>
      <c r="G21" s="195" t="str">
        <f>Service_Numbers!AD21</f>
        <v>ASM</v>
      </c>
      <c r="H21" s="49">
        <f t="shared" si="3"/>
        <v>0</v>
      </c>
      <c r="I21" s="202">
        <f>IF('2. CHW Input'!$C$2&lt;&gt;"Policy",$H21*Service_Numbers!L21,IF('4. Policy Interactive Screen'!$D30&gt;0,$H21*Service_Numbers!L21,0))*'3. Intervention Details'!$H21</f>
        <v>0</v>
      </c>
      <c r="J21" s="202">
        <f>IF('2. CHW Input'!$C$2&lt;&gt;"Policy",$H21*Service_Numbers!M21,IF('4. Policy Interactive Screen'!$G30&gt;0,$H21*Service_Numbers!M21,0))*'3. Intervention Details'!$H21</f>
        <v>0</v>
      </c>
      <c r="K21" s="202">
        <f>IF('2. CHW Input'!$C$2&lt;&gt;"Policy",$H21*Service_Numbers!N21,IF('4. Policy Interactive Screen'!$J30&gt;0,$H21*Service_Numbers!N21,0))*'3. Intervention Details'!$H21</f>
        <v>0</v>
      </c>
      <c r="L21" s="202">
        <f>IF('2. CHW Input'!$C$2&lt;&gt;"Policy",$H21*Service_Numbers!O21,IF('4. Policy Interactive Screen'!$G30&gt;0,$H21*Service_Numbers!O21,0))*'3. Intervention Details'!$H21</f>
        <v>0</v>
      </c>
      <c r="AI21" s="18" t="e">
        <f t="shared" ca="1" si="8"/>
        <v>#REF!</v>
      </c>
      <c r="AK21" s="18" t="str">
        <f t="shared" si="5"/>
        <v/>
      </c>
      <c r="AL21" s="18">
        <f t="shared" si="11"/>
        <v>20</v>
      </c>
      <c r="AM21" s="18" t="e">
        <f t="shared" ca="1" si="9"/>
        <v>#REF!</v>
      </c>
      <c r="AN21" s="18">
        <f t="shared" ca="1" si="6"/>
        <v>17</v>
      </c>
      <c r="AO21" s="18" t="e">
        <f t="shared" ca="1" si="10"/>
        <v>#REF!</v>
      </c>
      <c r="AP21" s="18"/>
      <c r="AQ21" s="18"/>
      <c r="AR21" s="18"/>
      <c r="AT21" s="18" t="e">
        <f t="shared" ca="1" si="7"/>
        <v>#REF!</v>
      </c>
      <c r="AU21" s="198" t="str">
        <f t="shared" si="4"/>
        <v/>
      </c>
    </row>
    <row r="22" spans="1:47" ht="15" thickBot="1" x14ac:dyDescent="0.45">
      <c r="A22" s="203">
        <v>17</v>
      </c>
      <c r="B22" s="204" t="str">
        <f>IF(Coverage!$B22="","",Coverage!$B22)</f>
        <v/>
      </c>
      <c r="C22" s="34" t="str">
        <f t="shared" si="2"/>
        <v/>
      </c>
      <c r="D22" s="195" t="str">
        <f>Service_Numbers!AA22</f>
        <v/>
      </c>
      <c r="E22" s="195" t="str">
        <f>Service_Numbers!AB22</f>
        <v/>
      </c>
      <c r="F22" s="195" t="str">
        <f>Service_Numbers!AC22</f>
        <v/>
      </c>
      <c r="G22" s="195" t="str">
        <f>Service_Numbers!AD22</f>
        <v>ASM</v>
      </c>
      <c r="H22" s="49">
        <f t="shared" si="3"/>
        <v>0</v>
      </c>
      <c r="I22" s="202">
        <f>IF('2. CHW Input'!$C$2&lt;&gt;"Policy",$H22*Service_Numbers!L22,IF('4. Policy Interactive Screen'!$D31&gt;0,$H22*Service_Numbers!L22,0))*'3. Intervention Details'!$H22</f>
        <v>0</v>
      </c>
      <c r="J22" s="202">
        <f>IF('2. CHW Input'!$C$2&lt;&gt;"Policy",$H22*Service_Numbers!M22,IF('4. Policy Interactive Screen'!$G31&gt;0,$H22*Service_Numbers!M22,0))*'3. Intervention Details'!$H22</f>
        <v>0</v>
      </c>
      <c r="K22" s="202">
        <f>IF('2. CHW Input'!$C$2&lt;&gt;"Policy",$H22*Service_Numbers!N22,IF('4. Policy Interactive Screen'!$J31&gt;0,$H22*Service_Numbers!N22,0))*'3. Intervention Details'!$H22</f>
        <v>0</v>
      </c>
      <c r="L22" s="202">
        <f>IF('2. CHW Input'!$C$2&lt;&gt;"Policy",$H22*Service_Numbers!O22,IF('4. Policy Interactive Screen'!$G31&gt;0,$H22*Service_Numbers!O22,0))*'3. Intervention Details'!$H22</f>
        <v>0</v>
      </c>
      <c r="AI22" s="18" t="e">
        <f t="shared" ca="1" si="8"/>
        <v>#REF!</v>
      </c>
      <c r="AK22" s="18" t="str">
        <f t="shared" si="5"/>
        <v/>
      </c>
      <c r="AL22" s="18">
        <f t="shared" si="11"/>
        <v>21</v>
      </c>
      <c r="AM22" s="18" t="e">
        <f t="shared" ca="1" si="9"/>
        <v>#REF!</v>
      </c>
      <c r="AN22" s="18">
        <f t="shared" ca="1" si="6"/>
        <v>17</v>
      </c>
      <c r="AO22" s="18" t="e">
        <f t="shared" ca="1" si="10"/>
        <v>#REF!</v>
      </c>
      <c r="AP22" s="18"/>
      <c r="AQ22" s="18"/>
      <c r="AR22" s="18"/>
      <c r="AT22" s="18" t="e">
        <f t="shared" ca="1" si="7"/>
        <v>#REF!</v>
      </c>
      <c r="AU22" s="198" t="str">
        <f t="shared" si="4"/>
        <v/>
      </c>
    </row>
    <row r="23" spans="1:47" ht="15" thickBot="1" x14ac:dyDescent="0.45">
      <c r="A23" s="203">
        <v>18</v>
      </c>
      <c r="B23" s="204" t="str">
        <f>IF(Coverage!$B23="","",Coverage!$B23)</f>
        <v/>
      </c>
      <c r="C23" s="34" t="str">
        <f t="shared" si="2"/>
        <v/>
      </c>
      <c r="D23" s="195" t="str">
        <f>Service_Numbers!AA23</f>
        <v/>
      </c>
      <c r="E23" s="195" t="str">
        <f>Service_Numbers!AB23</f>
        <v/>
      </c>
      <c r="F23" s="195" t="str">
        <f>Service_Numbers!AC23</f>
        <v/>
      </c>
      <c r="G23" s="195" t="str">
        <f>Service_Numbers!AD23</f>
        <v>Binome</v>
      </c>
      <c r="H23" s="49">
        <f t="shared" si="3"/>
        <v>0</v>
      </c>
      <c r="I23" s="202">
        <f>IF('2. CHW Input'!$C$2&lt;&gt;"Policy",$H23*Service_Numbers!L23,IF('4. Policy Interactive Screen'!$D32&gt;0,$H23*Service_Numbers!L23,0))*'3. Intervention Details'!$H23</f>
        <v>0</v>
      </c>
      <c r="J23" s="202">
        <f>IF('2. CHW Input'!$C$2&lt;&gt;"Policy",$H23*Service_Numbers!M23,IF('4. Policy Interactive Screen'!$G32&gt;0,$H23*Service_Numbers!M23,0))*'3. Intervention Details'!$H23</f>
        <v>0</v>
      </c>
      <c r="K23" s="202">
        <f>IF('2. CHW Input'!$C$2&lt;&gt;"Policy",$H23*Service_Numbers!N23,IF('4. Policy Interactive Screen'!$J32&gt;0,$H23*Service_Numbers!N23,0))*'3. Intervention Details'!$H23</f>
        <v>0</v>
      </c>
      <c r="L23" s="202">
        <f>IF('2. CHW Input'!$C$2&lt;&gt;"Policy",$H23*Service_Numbers!O23,IF('4. Policy Interactive Screen'!$G32&gt;0,$H23*Service_Numbers!O23,0))*'3. Intervention Details'!$H23</f>
        <v>0</v>
      </c>
      <c r="AK23" s="18" t="str">
        <f t="shared" si="5"/>
        <v/>
      </c>
      <c r="AL23" s="18">
        <f t="shared" si="11"/>
        <v>22</v>
      </c>
      <c r="AM23" s="18" t="e">
        <f t="shared" ca="1" si="9"/>
        <v>#REF!</v>
      </c>
      <c r="AN23" s="18">
        <f t="shared" ca="1" si="6"/>
        <v>17</v>
      </c>
      <c r="AO23" s="18" t="e">
        <f t="shared" ca="1" si="10"/>
        <v>#REF!</v>
      </c>
      <c r="AP23" s="18"/>
      <c r="AQ23" s="18"/>
      <c r="AR23" s="18"/>
      <c r="AT23" s="18" t="e">
        <f t="shared" ca="1" si="7"/>
        <v>#REF!</v>
      </c>
      <c r="AU23" s="198" t="str">
        <f t="shared" si="4"/>
        <v/>
      </c>
    </row>
    <row r="24" spans="1:47" ht="15" thickBot="1" x14ac:dyDescent="0.45">
      <c r="A24" s="203">
        <v>19</v>
      </c>
      <c r="B24" s="204" t="str">
        <f>IF(Coverage!$B24="","",Coverage!$B24)</f>
        <v/>
      </c>
      <c r="C24" s="34" t="str">
        <f t="shared" si="2"/>
        <v/>
      </c>
      <c r="D24" s="195" t="str">
        <f>Service_Numbers!AA24</f>
        <v/>
      </c>
      <c r="E24" s="195" t="str">
        <f>Service_Numbers!AB24</f>
        <v/>
      </c>
      <c r="F24" s="195" t="str">
        <f>Service_Numbers!AC24</f>
        <v/>
      </c>
      <c r="G24" s="195" t="str">
        <f>Service_Numbers!AD24</f>
        <v>Binome</v>
      </c>
      <c r="H24" s="49">
        <f t="shared" si="3"/>
        <v>0</v>
      </c>
      <c r="I24" s="202">
        <f>IF('2. CHW Input'!$C$2&lt;&gt;"Policy",$H24*Service_Numbers!L24,IF('4. Policy Interactive Screen'!$D33&gt;0,$H24*Service_Numbers!L24,0))*'3. Intervention Details'!$H24</f>
        <v>0</v>
      </c>
      <c r="J24" s="202">
        <f>IF('2. CHW Input'!$C$2&lt;&gt;"Policy",$H24*Service_Numbers!M24,IF('4. Policy Interactive Screen'!$G33&gt;0,$H24*Service_Numbers!M24,0))*'3. Intervention Details'!$H24</f>
        <v>0</v>
      </c>
      <c r="K24" s="202">
        <f>IF('2. CHW Input'!$C$2&lt;&gt;"Policy",$H24*Service_Numbers!N24,IF('4. Policy Interactive Screen'!$J33&gt;0,$H24*Service_Numbers!N24,0))*'3. Intervention Details'!$H24</f>
        <v>0</v>
      </c>
      <c r="L24" s="202">
        <f>IF('2. CHW Input'!$C$2&lt;&gt;"Policy",$H24*Service_Numbers!O24,IF('4. Policy Interactive Screen'!$G33&gt;0,$H24*Service_Numbers!O24,0))*'3. Intervention Details'!$H24</f>
        <v>0</v>
      </c>
      <c r="AK24" s="18" t="str">
        <f t="shared" si="5"/>
        <v/>
      </c>
      <c r="AL24" s="18">
        <f t="shared" si="11"/>
        <v>23</v>
      </c>
      <c r="AM24" s="18" t="e">
        <f t="shared" ca="1" si="9"/>
        <v>#REF!</v>
      </c>
      <c r="AN24" s="18">
        <f t="shared" ca="1" si="6"/>
        <v>17</v>
      </c>
      <c r="AO24" s="18" t="e">
        <f t="shared" ca="1" si="10"/>
        <v>#REF!</v>
      </c>
      <c r="AP24" s="18"/>
      <c r="AQ24" s="18"/>
      <c r="AR24" s="18"/>
      <c r="AT24" s="18" t="e">
        <f t="shared" ca="1" si="7"/>
        <v>#REF!</v>
      </c>
      <c r="AU24" s="198" t="str">
        <f t="shared" si="4"/>
        <v/>
      </c>
    </row>
    <row r="25" spans="1:47" ht="15" thickBot="1" x14ac:dyDescent="0.45">
      <c r="A25" s="203">
        <v>20</v>
      </c>
      <c r="B25" s="204" t="str">
        <f>IF(Coverage!$B25="","",Coverage!$B25)</f>
        <v/>
      </c>
      <c r="C25" s="34" t="str">
        <f t="shared" si="2"/>
        <v/>
      </c>
      <c r="D25" s="195" t="str">
        <f>Service_Numbers!AA25</f>
        <v/>
      </c>
      <c r="E25" s="195" t="str">
        <f>Service_Numbers!AB25</f>
        <v/>
      </c>
      <c r="F25" s="195" t="str">
        <f>Service_Numbers!AC25</f>
        <v/>
      </c>
      <c r="G25" s="195" t="str">
        <f>Service_Numbers!AD25</f>
        <v>Binome</v>
      </c>
      <c r="H25" s="49">
        <f t="shared" si="3"/>
        <v>0</v>
      </c>
      <c r="I25" s="202">
        <f>IF('2. CHW Input'!$C$2&lt;&gt;"Policy",$H25*Service_Numbers!L25,IF('4. Policy Interactive Screen'!$D34&gt;0,$H25*Service_Numbers!L25,0))*'3. Intervention Details'!$H25</f>
        <v>0</v>
      </c>
      <c r="J25" s="202">
        <f>IF('2. CHW Input'!$C$2&lt;&gt;"Policy",$H25*Service_Numbers!M25,IF('4. Policy Interactive Screen'!$G34&gt;0,$H25*Service_Numbers!M25,0))*'3. Intervention Details'!$H25</f>
        <v>0</v>
      </c>
      <c r="K25" s="202">
        <f>IF('2. CHW Input'!$C$2&lt;&gt;"Policy",$H25*Service_Numbers!N25,IF('4. Policy Interactive Screen'!$J34&gt;0,$H25*Service_Numbers!N25,0))*'3. Intervention Details'!$H25</f>
        <v>0</v>
      </c>
      <c r="L25" s="202">
        <f>IF('2. CHW Input'!$C$2&lt;&gt;"Policy",$H25*Service_Numbers!O25,IF('4. Policy Interactive Screen'!$G34&gt;0,$H25*Service_Numbers!O25,0))*'3. Intervention Details'!$H25</f>
        <v>0</v>
      </c>
      <c r="AK25" s="18" t="str">
        <f t="shared" si="5"/>
        <v/>
      </c>
      <c r="AL25" s="18">
        <f t="shared" si="11"/>
        <v>24</v>
      </c>
      <c r="AM25" s="18" t="e">
        <f t="shared" ca="1" si="9"/>
        <v>#REF!</v>
      </c>
      <c r="AN25" s="18">
        <f t="shared" ca="1" si="6"/>
        <v>17</v>
      </c>
      <c r="AO25" s="18" t="e">
        <f t="shared" ca="1" si="10"/>
        <v>#REF!</v>
      </c>
      <c r="AP25" s="18"/>
      <c r="AQ25" s="18"/>
      <c r="AR25" s="18"/>
      <c r="AT25" s="18" t="e">
        <f t="shared" ca="1" si="7"/>
        <v>#REF!</v>
      </c>
      <c r="AU25" s="198" t="str">
        <f t="shared" si="4"/>
        <v/>
      </c>
    </row>
    <row r="26" spans="1:47" ht="15" thickBot="1" x14ac:dyDescent="0.45">
      <c r="A26" s="203">
        <v>21</v>
      </c>
      <c r="B26" s="204" t="str">
        <f>IF(Coverage!$B26="","",Coverage!$B26)</f>
        <v/>
      </c>
      <c r="C26" s="34" t="str">
        <f t="shared" si="2"/>
        <v/>
      </c>
      <c r="D26" s="195" t="str">
        <f>Service_Numbers!AA26</f>
        <v/>
      </c>
      <c r="E26" s="195" t="str">
        <f>Service_Numbers!AB26</f>
        <v/>
      </c>
      <c r="F26" s="195" t="str">
        <f>Service_Numbers!AC26</f>
        <v/>
      </c>
      <c r="G26" s="195" t="str">
        <f>Service_Numbers!AD26</f>
        <v>Binome</v>
      </c>
      <c r="H26" s="49">
        <f t="shared" si="3"/>
        <v>0</v>
      </c>
      <c r="I26" s="202">
        <f>IF('2. CHW Input'!$C$2&lt;&gt;"Policy",$H26*Service_Numbers!L26,IF('4. Policy Interactive Screen'!$D35&gt;0,$H26*Service_Numbers!L26,0))*'3. Intervention Details'!$H26</f>
        <v>0</v>
      </c>
      <c r="J26" s="202">
        <f>IF('2. CHW Input'!$C$2&lt;&gt;"Policy",$H26*Service_Numbers!M26,IF('4. Policy Interactive Screen'!$G35&gt;0,$H26*Service_Numbers!M26,0))*'3. Intervention Details'!$H26</f>
        <v>0</v>
      </c>
      <c r="K26" s="202">
        <f>IF('2. CHW Input'!$C$2&lt;&gt;"Policy",$H26*Service_Numbers!N26,IF('4. Policy Interactive Screen'!$J35&gt;0,$H26*Service_Numbers!N26,0))*'3. Intervention Details'!$H26</f>
        <v>0</v>
      </c>
      <c r="L26" s="202">
        <f>IF('2. CHW Input'!$C$2&lt;&gt;"Policy",$H26*Service_Numbers!O26,IF('4. Policy Interactive Screen'!$G35&gt;0,$H26*Service_Numbers!O26,0))*'3. Intervention Details'!$H26</f>
        <v>0</v>
      </c>
      <c r="AK26" s="18" t="str">
        <f t="shared" si="5"/>
        <v/>
      </c>
      <c r="AL26" s="18">
        <f t="shared" si="11"/>
        <v>25</v>
      </c>
      <c r="AM26" s="18" t="e">
        <f t="shared" ca="1" si="9"/>
        <v>#REF!</v>
      </c>
      <c r="AN26" s="18">
        <f t="shared" ca="1" si="6"/>
        <v>17</v>
      </c>
      <c r="AO26" s="18" t="e">
        <f t="shared" ca="1" si="10"/>
        <v>#REF!</v>
      </c>
      <c r="AP26" s="18"/>
      <c r="AQ26" s="18"/>
      <c r="AR26" s="18"/>
      <c r="AT26" s="18" t="e">
        <f t="shared" ca="1" si="7"/>
        <v>#REF!</v>
      </c>
      <c r="AU26" s="198" t="str">
        <f t="shared" si="4"/>
        <v/>
      </c>
    </row>
    <row r="27" spans="1:47" ht="15" thickBot="1" x14ac:dyDescent="0.45">
      <c r="A27" s="203">
        <v>22</v>
      </c>
      <c r="B27" s="204" t="str">
        <f>IF(Coverage!$B27="","",Coverage!$B27)</f>
        <v/>
      </c>
      <c r="C27" s="34" t="str">
        <f t="shared" si="2"/>
        <v/>
      </c>
      <c r="D27" s="195" t="str">
        <f>Service_Numbers!AA27</f>
        <v/>
      </c>
      <c r="E27" s="195" t="str">
        <f>Service_Numbers!AB27</f>
        <v/>
      </c>
      <c r="F27" s="195" t="str">
        <f>Service_Numbers!AC27</f>
        <v/>
      </c>
      <c r="G27" s="195" t="str">
        <f>Service_Numbers!AD27</f>
        <v>Binome</v>
      </c>
      <c r="H27" s="49">
        <f t="shared" si="3"/>
        <v>0</v>
      </c>
      <c r="I27" s="202">
        <f>IF('2. CHW Input'!$C$2&lt;&gt;"Policy",$H27*Service_Numbers!L27,IF('4. Policy Interactive Screen'!$D36&gt;0,$H27*Service_Numbers!L27,0))*'3. Intervention Details'!$H27</f>
        <v>0</v>
      </c>
      <c r="J27" s="202">
        <f>IF('2. CHW Input'!$C$2&lt;&gt;"Policy",$H27*Service_Numbers!M27,IF('4. Policy Interactive Screen'!$G36&gt;0,$H27*Service_Numbers!M27,0))*'3. Intervention Details'!$H27</f>
        <v>0</v>
      </c>
      <c r="K27" s="202">
        <f>IF('2. CHW Input'!$C$2&lt;&gt;"Policy",$H27*Service_Numbers!N27,IF('4. Policy Interactive Screen'!$J36&gt;0,$H27*Service_Numbers!N27,0))*'3. Intervention Details'!$H27</f>
        <v>0</v>
      </c>
      <c r="L27" s="202">
        <f>IF('2. CHW Input'!$C$2&lt;&gt;"Policy",$H27*Service_Numbers!O27,IF('4. Policy Interactive Screen'!$G36&gt;0,$H27*Service_Numbers!O27,0))*'3. Intervention Details'!$H27</f>
        <v>0</v>
      </c>
      <c r="AK27" s="18" t="str">
        <f t="shared" si="5"/>
        <v/>
      </c>
      <c r="AL27" s="18">
        <f t="shared" si="11"/>
        <v>26</v>
      </c>
      <c r="AM27" s="18" t="e">
        <f t="shared" ca="1" si="9"/>
        <v>#REF!</v>
      </c>
      <c r="AN27" s="18">
        <f t="shared" ca="1" si="6"/>
        <v>17</v>
      </c>
      <c r="AO27" s="18" t="e">
        <f t="shared" ca="1" si="10"/>
        <v>#REF!</v>
      </c>
      <c r="AP27" s="18"/>
      <c r="AQ27" s="18"/>
      <c r="AR27" s="18"/>
      <c r="AT27" s="18" t="e">
        <f t="shared" ca="1" si="7"/>
        <v>#REF!</v>
      </c>
      <c r="AU27" s="198" t="str">
        <f t="shared" si="4"/>
        <v/>
      </c>
    </row>
    <row r="28" spans="1:47" ht="15" thickBot="1" x14ac:dyDescent="0.45">
      <c r="A28" s="203">
        <v>23</v>
      </c>
      <c r="B28" s="204" t="str">
        <f>IF(Coverage!$B28="","",Coverage!$B28)</f>
        <v/>
      </c>
      <c r="C28" s="34" t="str">
        <f t="shared" si="2"/>
        <v/>
      </c>
      <c r="D28" s="195" t="str">
        <f>Service_Numbers!AA28</f>
        <v/>
      </c>
      <c r="E28" s="195" t="str">
        <f>Service_Numbers!AB28</f>
        <v/>
      </c>
      <c r="F28" s="195" t="str">
        <f>Service_Numbers!AC28</f>
        <v/>
      </c>
      <c r="G28" s="195" t="str">
        <f>Service_Numbers!AD28</f>
        <v>Binome</v>
      </c>
      <c r="H28" s="49">
        <f t="shared" si="3"/>
        <v>0</v>
      </c>
      <c r="I28" s="202">
        <f>IF('2. CHW Input'!$C$2&lt;&gt;"Policy",$H28*Service_Numbers!L28,IF('4. Policy Interactive Screen'!$D37&gt;0,$H28*Service_Numbers!L28,0))*'3. Intervention Details'!$H28</f>
        <v>0</v>
      </c>
      <c r="J28" s="202">
        <f>IF('2. CHW Input'!$C$2&lt;&gt;"Policy",$H28*Service_Numbers!M28,IF('4. Policy Interactive Screen'!$G37&gt;0,$H28*Service_Numbers!M28,0))*'3. Intervention Details'!$H28</f>
        <v>0</v>
      </c>
      <c r="K28" s="202">
        <f>IF('2. CHW Input'!$C$2&lt;&gt;"Policy",$H28*Service_Numbers!N28,IF('4. Policy Interactive Screen'!$J37&gt;0,$H28*Service_Numbers!N28,0))*'3. Intervention Details'!$H28</f>
        <v>0</v>
      </c>
      <c r="L28" s="202">
        <f>IF('2. CHW Input'!$C$2&lt;&gt;"Policy",$H28*Service_Numbers!O28,IF('4. Policy Interactive Screen'!$G37&gt;0,$H28*Service_Numbers!O28,0))*'3. Intervention Details'!$H28</f>
        <v>0</v>
      </c>
      <c r="AK28" s="18" t="str">
        <f t="shared" si="5"/>
        <v/>
      </c>
      <c r="AL28" s="18">
        <f t="shared" si="11"/>
        <v>27</v>
      </c>
      <c r="AM28" s="18" t="e">
        <f t="shared" ca="1" si="9"/>
        <v>#REF!</v>
      </c>
      <c r="AN28" s="18">
        <f t="shared" ca="1" si="6"/>
        <v>17</v>
      </c>
      <c r="AO28" s="18" t="e">
        <f t="shared" ca="1" si="10"/>
        <v>#REF!</v>
      </c>
      <c r="AP28" s="18"/>
      <c r="AQ28" s="18"/>
      <c r="AR28" s="18"/>
      <c r="AT28" s="18" t="e">
        <f t="shared" ca="1" si="7"/>
        <v>#REF!</v>
      </c>
      <c r="AU28" s="198" t="str">
        <f t="shared" si="4"/>
        <v/>
      </c>
    </row>
    <row r="29" spans="1:47" ht="15" thickBot="1" x14ac:dyDescent="0.45">
      <c r="A29" s="203">
        <v>24</v>
      </c>
      <c r="B29" s="204" t="str">
        <f>IF(Coverage!$B29="","",Coverage!$B29)</f>
        <v/>
      </c>
      <c r="C29" s="34" t="str">
        <f t="shared" si="2"/>
        <v/>
      </c>
      <c r="D29" s="195" t="str">
        <f>Service_Numbers!AA29</f>
        <v/>
      </c>
      <c r="E29" s="195" t="str">
        <f>Service_Numbers!AB29</f>
        <v/>
      </c>
      <c r="F29" s="195" t="str">
        <f>Service_Numbers!AC29</f>
        <v/>
      </c>
      <c r="G29" s="195" t="str">
        <f>Service_Numbers!AD29</f>
        <v>Binome</v>
      </c>
      <c r="H29" s="49">
        <f t="shared" si="3"/>
        <v>0</v>
      </c>
      <c r="I29" s="202">
        <f>IF('2. CHW Input'!$C$2&lt;&gt;"Policy",$H29*Service_Numbers!L29,IF('4. Policy Interactive Screen'!$D38&gt;0,$H29*Service_Numbers!L29,0))*'3. Intervention Details'!$H29</f>
        <v>0</v>
      </c>
      <c r="J29" s="202">
        <f>IF('2. CHW Input'!$C$2&lt;&gt;"Policy",$H29*Service_Numbers!M29,IF('4. Policy Interactive Screen'!$G38&gt;0,$H29*Service_Numbers!M29,0))*'3. Intervention Details'!$H29</f>
        <v>0</v>
      </c>
      <c r="K29" s="202">
        <f>IF('2. CHW Input'!$C$2&lt;&gt;"Policy",$H29*Service_Numbers!N29,IF('4. Policy Interactive Screen'!$J38&gt;0,$H29*Service_Numbers!N29,0))*'3. Intervention Details'!$H29</f>
        <v>0</v>
      </c>
      <c r="L29" s="202">
        <f>IF('2. CHW Input'!$C$2&lt;&gt;"Policy",$H29*Service_Numbers!O29,IF('4. Policy Interactive Screen'!$G38&gt;0,$H29*Service_Numbers!O29,0))*'3. Intervention Details'!$H29</f>
        <v>0</v>
      </c>
      <c r="AK29" s="18" t="str">
        <f t="shared" si="5"/>
        <v/>
      </c>
      <c r="AL29" s="18">
        <f t="shared" si="11"/>
        <v>28</v>
      </c>
      <c r="AM29" s="18" t="e">
        <f t="shared" ca="1" si="9"/>
        <v>#REF!</v>
      </c>
      <c r="AN29" s="18">
        <f t="shared" ca="1" si="6"/>
        <v>17</v>
      </c>
      <c r="AO29" s="18" t="e">
        <f t="shared" ca="1" si="10"/>
        <v>#REF!</v>
      </c>
      <c r="AP29" s="18"/>
      <c r="AQ29" s="18"/>
      <c r="AR29" s="18"/>
      <c r="AT29" s="18" t="e">
        <f t="shared" ca="1" si="7"/>
        <v>#REF!</v>
      </c>
      <c r="AU29" s="198" t="str">
        <f t="shared" si="4"/>
        <v/>
      </c>
    </row>
    <row r="30" spans="1:47" ht="15" thickBot="1" x14ac:dyDescent="0.45">
      <c r="A30" s="203">
        <v>25</v>
      </c>
      <c r="B30" s="204" t="str">
        <f>IF(Coverage!$B30="","",Coverage!$B30)</f>
        <v/>
      </c>
      <c r="C30" s="34" t="str">
        <f t="shared" si="2"/>
        <v/>
      </c>
      <c r="D30" s="195" t="str">
        <f>Service_Numbers!AA30</f>
        <v/>
      </c>
      <c r="E30" s="195" t="str">
        <f>Service_Numbers!AB30</f>
        <v/>
      </c>
      <c r="F30" s="195" t="str">
        <f>Service_Numbers!AC30</f>
        <v/>
      </c>
      <c r="G30" s="195" t="str">
        <f>Service_Numbers!AD30</f>
        <v>Binome</v>
      </c>
      <c r="H30" s="49">
        <f t="shared" si="3"/>
        <v>0</v>
      </c>
      <c r="I30" s="202">
        <f>IF('2. CHW Input'!$C$2&lt;&gt;"Policy",$H30*Service_Numbers!L30,IF('4. Policy Interactive Screen'!$D39&gt;0,$H30*Service_Numbers!L30,0))*'3. Intervention Details'!$H30</f>
        <v>0</v>
      </c>
      <c r="J30" s="202">
        <f>IF('2. CHW Input'!$C$2&lt;&gt;"Policy",$H30*Service_Numbers!M30,IF('4. Policy Interactive Screen'!$G39&gt;0,$H30*Service_Numbers!M30,0))*'3. Intervention Details'!$H30</f>
        <v>0</v>
      </c>
      <c r="K30" s="202">
        <f>IF('2. CHW Input'!$C$2&lt;&gt;"Policy",$H30*Service_Numbers!N30,IF('4. Policy Interactive Screen'!$J39&gt;0,$H30*Service_Numbers!N30,0))*'3. Intervention Details'!$H30</f>
        <v>0</v>
      </c>
      <c r="L30" s="202">
        <f>IF('2. CHW Input'!$C$2&lt;&gt;"Policy",$H30*Service_Numbers!O30,IF('4. Policy Interactive Screen'!$G39&gt;0,$H30*Service_Numbers!O30,0))*'3. Intervention Details'!$H30</f>
        <v>0</v>
      </c>
      <c r="AK30" s="18" t="str">
        <f t="shared" si="5"/>
        <v/>
      </c>
      <c r="AL30" s="18">
        <f t="shared" si="11"/>
        <v>29</v>
      </c>
      <c r="AM30" s="18" t="e">
        <f t="shared" ca="1" si="9"/>
        <v>#REF!</v>
      </c>
      <c r="AN30" s="18">
        <f t="shared" ca="1" si="6"/>
        <v>17</v>
      </c>
      <c r="AO30" s="18" t="e">
        <f t="shared" ca="1" si="10"/>
        <v>#REF!</v>
      </c>
      <c r="AP30" s="18"/>
      <c r="AQ30" s="18"/>
      <c r="AR30" s="18"/>
      <c r="AT30" s="18" t="e">
        <f t="shared" ca="1" si="7"/>
        <v>#REF!</v>
      </c>
      <c r="AU30" s="198" t="str">
        <f t="shared" si="4"/>
        <v/>
      </c>
    </row>
    <row r="31" spans="1:47" ht="15" thickBot="1" x14ac:dyDescent="0.45">
      <c r="A31" s="203">
        <v>26</v>
      </c>
      <c r="B31" s="204" t="str">
        <f>IF(Coverage!$B31="","",Coverage!$B31)</f>
        <v/>
      </c>
      <c r="C31" s="34" t="str">
        <f t="shared" si="2"/>
        <v/>
      </c>
      <c r="D31" s="195" t="str">
        <f>Service_Numbers!AA31</f>
        <v/>
      </c>
      <c r="E31" s="195" t="str">
        <f>Service_Numbers!AB31</f>
        <v/>
      </c>
      <c r="F31" s="195" t="str">
        <f>Service_Numbers!AC31</f>
        <v/>
      </c>
      <c r="G31" s="195" t="str">
        <f>Service_Numbers!AD31</f>
        <v>Binome</v>
      </c>
      <c r="H31" s="49">
        <f t="shared" si="3"/>
        <v>0</v>
      </c>
      <c r="I31" s="202">
        <f>IF('2. CHW Input'!$C$2&lt;&gt;"Policy",$H31*Service_Numbers!L31,IF('4. Policy Interactive Screen'!$D40&gt;0,$H31*Service_Numbers!L31,0))*'3. Intervention Details'!$H31</f>
        <v>0</v>
      </c>
      <c r="J31" s="202">
        <f>IF('2. CHW Input'!$C$2&lt;&gt;"Policy",$H31*Service_Numbers!M31,IF('4. Policy Interactive Screen'!$G40&gt;0,$H31*Service_Numbers!M31,0))*'3. Intervention Details'!$H31</f>
        <v>0</v>
      </c>
      <c r="K31" s="202">
        <f>IF('2. CHW Input'!$C$2&lt;&gt;"Policy",$H31*Service_Numbers!N31,IF('4. Policy Interactive Screen'!$J40&gt;0,$H31*Service_Numbers!N31,0))*'3. Intervention Details'!$H31</f>
        <v>0</v>
      </c>
      <c r="L31" s="202">
        <f>IF('2. CHW Input'!$C$2&lt;&gt;"Policy",$H31*Service_Numbers!O31,IF('4. Policy Interactive Screen'!$G40&gt;0,$H31*Service_Numbers!O31,0))*'3. Intervention Details'!$H31</f>
        <v>0</v>
      </c>
      <c r="AK31" s="18" t="str">
        <f t="shared" si="5"/>
        <v/>
      </c>
      <c r="AL31" s="18">
        <f t="shared" si="11"/>
        <v>30</v>
      </c>
      <c r="AM31" s="18" t="e">
        <f t="shared" ca="1" si="9"/>
        <v>#REF!</v>
      </c>
      <c r="AN31" s="18">
        <f t="shared" ca="1" si="6"/>
        <v>17</v>
      </c>
      <c r="AO31" s="18" t="e">
        <f t="shared" ca="1" si="10"/>
        <v>#REF!</v>
      </c>
      <c r="AP31" s="18"/>
      <c r="AQ31" s="18"/>
      <c r="AR31" s="18"/>
      <c r="AT31" s="18" t="e">
        <f t="shared" ca="1" si="7"/>
        <v>#REF!</v>
      </c>
      <c r="AU31" s="198" t="str">
        <f t="shared" si="4"/>
        <v/>
      </c>
    </row>
    <row r="32" spans="1:47" ht="15" thickBot="1" x14ac:dyDescent="0.45">
      <c r="A32" s="203">
        <v>27</v>
      </c>
      <c r="B32" s="204" t="str">
        <f>IF(Coverage!$B32="","",Coverage!$B32)</f>
        <v/>
      </c>
      <c r="C32" s="34" t="str">
        <f t="shared" si="2"/>
        <v/>
      </c>
      <c r="D32" s="195" t="str">
        <f>Service_Numbers!AA32</f>
        <v/>
      </c>
      <c r="E32" s="195" t="str">
        <f>Service_Numbers!AB32</f>
        <v/>
      </c>
      <c r="F32" s="195" t="str">
        <f>Service_Numbers!AC32</f>
        <v/>
      </c>
      <c r="G32" s="195" t="str">
        <f>Service_Numbers!AD32</f>
        <v/>
      </c>
      <c r="H32" s="49">
        <f t="shared" si="3"/>
        <v>0</v>
      </c>
      <c r="I32" s="202">
        <f>IF('2. CHW Input'!$C$2&lt;&gt;"Policy",$H32*Service_Numbers!L32,IF('4. Policy Interactive Screen'!$D41&gt;0,$H32*Service_Numbers!L32,0))*'3. Intervention Details'!$H32</f>
        <v>0</v>
      </c>
      <c r="J32" s="202">
        <f>IF('2. CHW Input'!$C$2&lt;&gt;"Policy",$H32*Service_Numbers!M32,IF('4. Policy Interactive Screen'!$G41&gt;0,$H32*Service_Numbers!M32,0))*'3. Intervention Details'!$H32</f>
        <v>0</v>
      </c>
      <c r="K32" s="202">
        <f>IF('2. CHW Input'!$C$2&lt;&gt;"Policy",$H32*Service_Numbers!N32,IF('4. Policy Interactive Screen'!$J41&gt;0,$H32*Service_Numbers!N32,0))*'3. Intervention Details'!$H32</f>
        <v>0</v>
      </c>
      <c r="L32" s="202">
        <f>IF('2. CHW Input'!$C$2&lt;&gt;"Policy",$H32*Service_Numbers!O32,IF('4. Policy Interactive Screen'!$G41&gt;0,$H32*Service_Numbers!O32,0))*'3. Intervention Details'!$H32</f>
        <v>0</v>
      </c>
      <c r="AK32" s="18" t="str">
        <f t="shared" si="5"/>
        <v/>
      </c>
      <c r="AL32" s="18">
        <f t="shared" si="11"/>
        <v>31</v>
      </c>
      <c r="AM32" s="18" t="e">
        <f t="shared" ca="1" si="9"/>
        <v>#REF!</v>
      </c>
      <c r="AN32" s="18">
        <f t="shared" ca="1" si="6"/>
        <v>17</v>
      </c>
      <c r="AO32" s="18" t="e">
        <f t="shared" ca="1" si="10"/>
        <v>#REF!</v>
      </c>
      <c r="AP32" s="18"/>
      <c r="AQ32" s="18"/>
      <c r="AR32" s="18"/>
      <c r="AT32" s="18" t="e">
        <f t="shared" ca="1" si="7"/>
        <v>#REF!</v>
      </c>
      <c r="AU32" s="198" t="str">
        <f t="shared" si="4"/>
        <v/>
      </c>
    </row>
    <row r="33" spans="1:47" ht="15" thickBot="1" x14ac:dyDescent="0.45">
      <c r="A33" s="203">
        <v>28</v>
      </c>
      <c r="B33" s="204" t="str">
        <f>IF(Coverage!$B33="","",Coverage!$B33)</f>
        <v/>
      </c>
      <c r="C33" s="34" t="str">
        <f t="shared" si="2"/>
        <v/>
      </c>
      <c r="D33" s="195" t="str">
        <f>Service_Numbers!AA33</f>
        <v/>
      </c>
      <c r="E33" s="195" t="str">
        <f>Service_Numbers!AB33</f>
        <v/>
      </c>
      <c r="F33" s="195" t="str">
        <f>Service_Numbers!AC33</f>
        <v/>
      </c>
      <c r="G33" s="195" t="str">
        <f>Service_Numbers!AD33</f>
        <v/>
      </c>
      <c r="H33" s="49">
        <f t="shared" si="3"/>
        <v>0</v>
      </c>
      <c r="I33" s="202">
        <f>IF('2. CHW Input'!$C$2&lt;&gt;"Policy",$H33*Service_Numbers!L33,IF('4. Policy Interactive Screen'!$D42&gt;0,$H33*Service_Numbers!L33,0))*'3. Intervention Details'!$H33</f>
        <v>0</v>
      </c>
      <c r="J33" s="202">
        <f>IF('2. CHW Input'!$C$2&lt;&gt;"Policy",$H33*Service_Numbers!M33,IF('4. Policy Interactive Screen'!$G42&gt;0,$H33*Service_Numbers!M33,0))*'3. Intervention Details'!$H33</f>
        <v>0</v>
      </c>
      <c r="K33" s="202">
        <f>IF('2. CHW Input'!$C$2&lt;&gt;"Policy",$H33*Service_Numbers!N33,IF('4. Policy Interactive Screen'!$J42&gt;0,$H33*Service_Numbers!N33,0))*'3. Intervention Details'!$H33</f>
        <v>0</v>
      </c>
      <c r="L33" s="202">
        <f>IF('2. CHW Input'!$C$2&lt;&gt;"Policy",$H33*Service_Numbers!O33,IF('4. Policy Interactive Screen'!$G42&gt;0,$H33*Service_Numbers!O33,0))*'3. Intervention Details'!$H33</f>
        <v>0</v>
      </c>
      <c r="AK33" s="18" t="str">
        <f t="shared" si="5"/>
        <v/>
      </c>
      <c r="AL33" s="18">
        <f t="shared" si="11"/>
        <v>32</v>
      </c>
      <c r="AM33" s="18" t="e">
        <f t="shared" ca="1" si="9"/>
        <v>#REF!</v>
      </c>
      <c r="AN33" s="18">
        <f t="shared" ca="1" si="6"/>
        <v>17</v>
      </c>
      <c r="AO33" s="18" t="e">
        <f t="shared" ca="1" si="10"/>
        <v>#REF!</v>
      </c>
      <c r="AP33" s="18"/>
      <c r="AQ33" s="18"/>
      <c r="AR33" s="18"/>
      <c r="AT33" s="18" t="e">
        <f t="shared" ca="1" si="7"/>
        <v>#REF!</v>
      </c>
      <c r="AU33" s="198" t="str">
        <f t="shared" si="4"/>
        <v/>
      </c>
    </row>
    <row r="34" spans="1:47" ht="15" thickBot="1" x14ac:dyDescent="0.45">
      <c r="A34" s="203">
        <v>29</v>
      </c>
      <c r="B34" s="204" t="str">
        <f>IF(Coverage!$B34="","",Coverage!$B34)</f>
        <v/>
      </c>
      <c r="C34" s="34" t="str">
        <f t="shared" si="2"/>
        <v/>
      </c>
      <c r="D34" s="195" t="str">
        <f>Service_Numbers!AA34</f>
        <v/>
      </c>
      <c r="E34" s="195" t="str">
        <f>Service_Numbers!AB34</f>
        <v/>
      </c>
      <c r="F34" s="195" t="str">
        <f>Service_Numbers!AC34</f>
        <v/>
      </c>
      <c r="G34" s="195" t="str">
        <f>Service_Numbers!AD34</f>
        <v/>
      </c>
      <c r="H34" s="49">
        <f t="shared" si="3"/>
        <v>0</v>
      </c>
      <c r="I34" s="202">
        <f>IF('2. CHW Input'!$C$2&lt;&gt;"Policy",$H34*Service_Numbers!L34,IF('4. Policy Interactive Screen'!$D43&gt;0,$H34*Service_Numbers!L34,0))*'3. Intervention Details'!$H34</f>
        <v>0</v>
      </c>
      <c r="J34" s="202">
        <f>IF('2. CHW Input'!$C$2&lt;&gt;"Policy",$H34*Service_Numbers!M34,IF('4. Policy Interactive Screen'!$G43&gt;0,$H34*Service_Numbers!M34,0))*'3. Intervention Details'!$H34</f>
        <v>0</v>
      </c>
      <c r="K34" s="202">
        <f>IF('2. CHW Input'!$C$2&lt;&gt;"Policy",$H34*Service_Numbers!N34,IF('4. Policy Interactive Screen'!$J43&gt;0,$H34*Service_Numbers!N34,0))*'3. Intervention Details'!$H34</f>
        <v>0</v>
      </c>
      <c r="L34" s="202">
        <f>IF('2. CHW Input'!$C$2&lt;&gt;"Policy",$H34*Service_Numbers!O34,IF('4. Policy Interactive Screen'!$G43&gt;0,$H34*Service_Numbers!O34,0))*'3. Intervention Details'!$H34</f>
        <v>0</v>
      </c>
      <c r="AK34" s="18" t="str">
        <f t="shared" si="5"/>
        <v/>
      </c>
      <c r="AL34" s="18">
        <f t="shared" si="11"/>
        <v>33</v>
      </c>
      <c r="AM34" s="18" t="e">
        <f t="shared" ca="1" si="9"/>
        <v>#REF!</v>
      </c>
      <c r="AN34" s="18">
        <f t="shared" ca="1" si="6"/>
        <v>17</v>
      </c>
      <c r="AO34" s="18" t="e">
        <f t="shared" ca="1" si="10"/>
        <v>#REF!</v>
      </c>
      <c r="AP34" s="18"/>
      <c r="AQ34" s="18"/>
      <c r="AR34" s="18"/>
      <c r="AT34" s="18" t="e">
        <f t="shared" ca="1" si="7"/>
        <v>#REF!</v>
      </c>
      <c r="AU34" s="198" t="str">
        <f t="shared" si="4"/>
        <v/>
      </c>
    </row>
    <row r="35" spans="1:47" ht="15" thickBot="1" x14ac:dyDescent="0.45">
      <c r="A35" s="203">
        <v>30</v>
      </c>
      <c r="B35" s="204" t="str">
        <f>IF(Coverage!$B35="","",Coverage!$B35)</f>
        <v/>
      </c>
      <c r="C35" s="34" t="str">
        <f t="shared" si="2"/>
        <v/>
      </c>
      <c r="D35" s="195" t="str">
        <f>Service_Numbers!AA35</f>
        <v/>
      </c>
      <c r="E35" s="195" t="str">
        <f>Service_Numbers!AB35</f>
        <v/>
      </c>
      <c r="F35" s="195" t="str">
        <f>Service_Numbers!AC35</f>
        <v/>
      </c>
      <c r="G35" s="195" t="str">
        <f>Service_Numbers!AD35</f>
        <v/>
      </c>
      <c r="H35" s="49">
        <f t="shared" si="3"/>
        <v>0</v>
      </c>
      <c r="I35" s="202">
        <f>IF('2. CHW Input'!$C$2&lt;&gt;"Policy",$H35*Service_Numbers!L35,IF('4. Policy Interactive Screen'!$D44&gt;0,$H35*Service_Numbers!L35,0))*'3. Intervention Details'!$H35</f>
        <v>0</v>
      </c>
      <c r="J35" s="202">
        <f>IF('2. CHW Input'!$C$2&lt;&gt;"Policy",$H35*Service_Numbers!M35,IF('4. Policy Interactive Screen'!$G44&gt;0,$H35*Service_Numbers!M35,0))*'3. Intervention Details'!$H35</f>
        <v>0</v>
      </c>
      <c r="K35" s="202">
        <f>IF('2. CHW Input'!$C$2&lt;&gt;"Policy",$H35*Service_Numbers!N35,IF('4. Policy Interactive Screen'!$J44&gt;0,$H35*Service_Numbers!N35,0))*'3. Intervention Details'!$H35</f>
        <v>0</v>
      </c>
      <c r="L35" s="202">
        <f>IF('2. CHW Input'!$C$2&lt;&gt;"Policy",$H35*Service_Numbers!O35,IF('4. Policy Interactive Screen'!$G44&gt;0,$H35*Service_Numbers!O35,0))*'3. Intervention Details'!$H35</f>
        <v>0</v>
      </c>
      <c r="AK35" s="18" t="str">
        <f t="shared" si="5"/>
        <v/>
      </c>
      <c r="AL35" s="18">
        <f t="shared" si="11"/>
        <v>34</v>
      </c>
      <c r="AM35" s="18" t="e">
        <f t="shared" ca="1" si="9"/>
        <v>#REF!</v>
      </c>
      <c r="AN35" s="18">
        <f t="shared" ca="1" si="6"/>
        <v>17</v>
      </c>
      <c r="AO35" s="18" t="e">
        <f t="shared" ca="1" si="10"/>
        <v>#REF!</v>
      </c>
      <c r="AP35" s="18"/>
      <c r="AQ35" s="18"/>
      <c r="AR35" s="18"/>
      <c r="AT35" s="18" t="e">
        <f t="shared" ca="1" si="7"/>
        <v>#REF!</v>
      </c>
      <c r="AU35" s="198" t="str">
        <f t="shared" si="4"/>
        <v/>
      </c>
    </row>
    <row r="36" spans="1:47" ht="15" thickBot="1" x14ac:dyDescent="0.45">
      <c r="A36" s="203">
        <v>31</v>
      </c>
      <c r="B36" s="204" t="str">
        <f>IF(Coverage!$B36="","",Coverage!$B36)</f>
        <v/>
      </c>
      <c r="C36" s="34" t="str">
        <f t="shared" si="2"/>
        <v/>
      </c>
      <c r="D36" s="195" t="str">
        <f>Service_Numbers!AA36</f>
        <v/>
      </c>
      <c r="E36" s="195" t="str">
        <f>Service_Numbers!AB36</f>
        <v/>
      </c>
      <c r="F36" s="195" t="str">
        <f>Service_Numbers!AC36</f>
        <v/>
      </c>
      <c r="G36" s="195" t="str">
        <f>Service_Numbers!AD36</f>
        <v/>
      </c>
      <c r="H36" s="49">
        <f t="shared" si="3"/>
        <v>0</v>
      </c>
      <c r="I36" s="202">
        <f>IF('2. CHW Input'!$C$2&lt;&gt;"Policy",$H36*Service_Numbers!L36,IF('4. Policy Interactive Screen'!$D45&gt;0,$H36*Service_Numbers!L36,0))*'3. Intervention Details'!$H36</f>
        <v>0</v>
      </c>
      <c r="J36" s="202">
        <f>IF('2. CHW Input'!$C$2&lt;&gt;"Policy",$H36*Service_Numbers!M36,IF('4. Policy Interactive Screen'!$G45&gt;0,$H36*Service_Numbers!M36,0))*'3. Intervention Details'!$H36</f>
        <v>0</v>
      </c>
      <c r="K36" s="202">
        <f>IF('2. CHW Input'!$C$2&lt;&gt;"Policy",$H36*Service_Numbers!N36,IF('4. Policy Interactive Screen'!$J45&gt;0,$H36*Service_Numbers!N36,0))*'3. Intervention Details'!$H36</f>
        <v>0</v>
      </c>
      <c r="L36" s="202">
        <f>IF('2. CHW Input'!$C$2&lt;&gt;"Policy",$H36*Service_Numbers!O36,IF('4. Policy Interactive Screen'!$G45&gt;0,$H36*Service_Numbers!O36,0))*'3. Intervention Details'!$H36</f>
        <v>0</v>
      </c>
      <c r="AK36" s="18" t="str">
        <f t="shared" si="5"/>
        <v/>
      </c>
      <c r="AL36" s="18">
        <f t="shared" si="11"/>
        <v>35</v>
      </c>
      <c r="AM36" s="18" t="e">
        <f t="shared" ca="1" si="9"/>
        <v>#REF!</v>
      </c>
      <c r="AN36" s="18">
        <f t="shared" ca="1" si="6"/>
        <v>17</v>
      </c>
      <c r="AO36" s="18" t="e">
        <f t="shared" ca="1" si="10"/>
        <v>#REF!</v>
      </c>
      <c r="AP36" s="18"/>
      <c r="AQ36" s="18"/>
      <c r="AR36" s="18"/>
      <c r="AT36" s="18" t="e">
        <f t="shared" ca="1" si="7"/>
        <v>#REF!</v>
      </c>
      <c r="AU36" s="198" t="str">
        <f t="shared" si="4"/>
        <v/>
      </c>
    </row>
    <row r="37" spans="1:47" ht="15" thickBot="1" x14ac:dyDescent="0.45">
      <c r="A37" s="203">
        <v>32</v>
      </c>
      <c r="B37" s="204" t="str">
        <f>IF(Coverage!$B37="","",Coverage!$B37)</f>
        <v/>
      </c>
      <c r="C37" s="34" t="str">
        <f t="shared" si="2"/>
        <v/>
      </c>
      <c r="D37" s="195" t="str">
        <f>Service_Numbers!AA37</f>
        <v/>
      </c>
      <c r="E37" s="195" t="str">
        <f>Service_Numbers!AB37</f>
        <v/>
      </c>
      <c r="F37" s="195" t="str">
        <f>Service_Numbers!AC37</f>
        <v/>
      </c>
      <c r="G37" s="195" t="str">
        <f>Service_Numbers!AD37</f>
        <v/>
      </c>
      <c r="H37" s="49">
        <f t="shared" si="3"/>
        <v>0</v>
      </c>
      <c r="I37" s="202">
        <f>IF('2. CHW Input'!$C$2&lt;&gt;"Policy",$H37*Service_Numbers!L37,IF('4. Policy Interactive Screen'!$D46&gt;0,$H37*Service_Numbers!L37,0))*'3. Intervention Details'!$H37</f>
        <v>0</v>
      </c>
      <c r="J37" s="202">
        <f>IF('2. CHW Input'!$C$2&lt;&gt;"Policy",$H37*Service_Numbers!M37,IF('4. Policy Interactive Screen'!$G46&gt;0,$H37*Service_Numbers!M37,0))*'3. Intervention Details'!$H37</f>
        <v>0</v>
      </c>
      <c r="K37" s="202">
        <f>IF('2. CHW Input'!$C$2&lt;&gt;"Policy",$H37*Service_Numbers!N37,IF('4. Policy Interactive Screen'!$J46&gt;0,$H37*Service_Numbers!N37,0))*'3. Intervention Details'!$H37</f>
        <v>0</v>
      </c>
      <c r="L37" s="202">
        <f>IF('2. CHW Input'!$C$2&lt;&gt;"Policy",$H37*Service_Numbers!O37,IF('4. Policy Interactive Screen'!$G46&gt;0,$H37*Service_Numbers!O37,0))*'3. Intervention Details'!$H37</f>
        <v>0</v>
      </c>
      <c r="AK37" s="18" t="str">
        <f t="shared" si="5"/>
        <v/>
      </c>
      <c r="AL37" s="18">
        <f t="shared" si="11"/>
        <v>36</v>
      </c>
      <c r="AM37" s="18" t="e">
        <f t="shared" ca="1" si="9"/>
        <v>#REF!</v>
      </c>
      <c r="AN37" s="18">
        <f t="shared" ca="1" si="6"/>
        <v>17</v>
      </c>
      <c r="AO37" s="18" t="e">
        <f t="shared" ca="1" si="10"/>
        <v>#REF!</v>
      </c>
      <c r="AP37" s="18"/>
      <c r="AQ37" s="18"/>
      <c r="AR37" s="18"/>
      <c r="AT37" s="18" t="e">
        <f t="shared" ca="1" si="7"/>
        <v>#REF!</v>
      </c>
      <c r="AU37" s="198" t="str">
        <f t="shared" si="4"/>
        <v/>
      </c>
    </row>
    <row r="38" spans="1:47" ht="15" thickBot="1" x14ac:dyDescent="0.45">
      <c r="A38" s="203">
        <v>33</v>
      </c>
      <c r="B38" s="204" t="str">
        <f>IF(Coverage!$B38="","",Coverage!$B38)</f>
        <v/>
      </c>
      <c r="C38" s="34" t="str">
        <f t="shared" ref="C38:C69" si="12">IFERROR((VLOOKUP(B38,lookup_masterlist,C$1,FALSE)),"")</f>
        <v/>
      </c>
      <c r="D38" s="195" t="str">
        <f>Service_Numbers!AA38</f>
        <v/>
      </c>
      <c r="E38" s="195" t="str">
        <f>Service_Numbers!AB38</f>
        <v/>
      </c>
      <c r="F38" s="195" t="str">
        <f>Service_Numbers!AC38</f>
        <v/>
      </c>
      <c r="G38" s="195" t="str">
        <f>Service_Numbers!AD38</f>
        <v/>
      </c>
      <c r="H38" s="49">
        <f t="shared" ref="H38:H69" si="13">IF(B38="",0,VLOOKUP(B38,lookup_time_cost,3,FALSE))</f>
        <v>0</v>
      </c>
      <c r="I38" s="202">
        <f>IF('2. CHW Input'!$C$2&lt;&gt;"Policy",$H38*Service_Numbers!L38,IF('4. Policy Interactive Screen'!$D47&gt;0,$H38*Service_Numbers!L38,0))*'3. Intervention Details'!$H38</f>
        <v>0</v>
      </c>
      <c r="J38" s="202">
        <f>IF('2. CHW Input'!$C$2&lt;&gt;"Policy",$H38*Service_Numbers!M38,IF('4. Policy Interactive Screen'!$G47&gt;0,$H38*Service_Numbers!M38,0))*'3. Intervention Details'!$H38</f>
        <v>0</v>
      </c>
      <c r="K38" s="202">
        <f>IF('2. CHW Input'!$C$2&lt;&gt;"Policy",$H38*Service_Numbers!N38,IF('4. Policy Interactive Screen'!$J47&gt;0,$H38*Service_Numbers!N38,0))*'3. Intervention Details'!$H38</f>
        <v>0</v>
      </c>
      <c r="L38" s="202">
        <f>IF('2. CHW Input'!$C$2&lt;&gt;"Policy",$H38*Service_Numbers!O38,IF('4. Policy Interactive Screen'!$G47&gt;0,$H38*Service_Numbers!O38,0))*'3. Intervention Details'!$H38</f>
        <v>0</v>
      </c>
      <c r="AK38" s="18" t="str">
        <f t="shared" si="5"/>
        <v/>
      </c>
      <c r="AL38" s="18">
        <f t="shared" si="11"/>
        <v>37</v>
      </c>
      <c r="AM38" s="18" t="e">
        <f t="shared" ca="1" si="9"/>
        <v>#REF!</v>
      </c>
      <c r="AN38" s="18">
        <f t="shared" ca="1" si="6"/>
        <v>17</v>
      </c>
      <c r="AO38" s="18" t="e">
        <f t="shared" ca="1" si="10"/>
        <v>#REF!</v>
      </c>
      <c r="AP38" s="18"/>
      <c r="AQ38" s="18"/>
      <c r="AR38" s="18"/>
      <c r="AT38" s="18" t="e">
        <f t="shared" ca="1" si="7"/>
        <v>#REF!</v>
      </c>
      <c r="AU38" s="198" t="str">
        <f t="shared" ref="AU38:AU69" si="14">B38</f>
        <v/>
      </c>
    </row>
    <row r="39" spans="1:47" ht="15" thickBot="1" x14ac:dyDescent="0.45">
      <c r="A39" s="203">
        <v>34</v>
      </c>
      <c r="B39" s="204" t="str">
        <f>IF(Coverage!$B39="","",Coverage!$B39)</f>
        <v/>
      </c>
      <c r="C39" s="34" t="str">
        <f t="shared" si="12"/>
        <v/>
      </c>
      <c r="D39" s="195" t="str">
        <f>Service_Numbers!AA39</f>
        <v/>
      </c>
      <c r="E39" s="195" t="str">
        <f>Service_Numbers!AB39</f>
        <v/>
      </c>
      <c r="F39" s="195" t="str">
        <f>Service_Numbers!AC39</f>
        <v/>
      </c>
      <c r="G39" s="195" t="str">
        <f>Service_Numbers!AD39</f>
        <v/>
      </c>
      <c r="H39" s="49">
        <f t="shared" si="13"/>
        <v>0</v>
      </c>
      <c r="I39" s="202">
        <f>IF('2. CHW Input'!$C$2&lt;&gt;"Policy",$H39*Service_Numbers!L39,IF('4. Policy Interactive Screen'!$D48&gt;0,$H39*Service_Numbers!L39,0))*'3. Intervention Details'!$H39</f>
        <v>0</v>
      </c>
      <c r="J39" s="202">
        <f>IF('2. CHW Input'!$C$2&lt;&gt;"Policy",$H39*Service_Numbers!M39,IF('4. Policy Interactive Screen'!$G48&gt;0,$H39*Service_Numbers!M39,0))*'3. Intervention Details'!$H39</f>
        <v>0</v>
      </c>
      <c r="K39" s="202">
        <f>IF('2. CHW Input'!$C$2&lt;&gt;"Policy",$H39*Service_Numbers!N39,IF('4. Policy Interactive Screen'!$J48&gt;0,$H39*Service_Numbers!N39,0))*'3. Intervention Details'!$H39</f>
        <v>0</v>
      </c>
      <c r="L39" s="202">
        <f>IF('2. CHW Input'!$C$2&lt;&gt;"Policy",$H39*Service_Numbers!O39,IF('4. Policy Interactive Screen'!$G48&gt;0,$H39*Service_Numbers!O39,0))*'3. Intervention Details'!$H39</f>
        <v>0</v>
      </c>
      <c r="AK39" s="18" t="str">
        <f t="shared" ref="AK39:AK70" si="15">B38</f>
        <v/>
      </c>
      <c r="AL39" s="18">
        <f t="shared" si="11"/>
        <v>38</v>
      </c>
      <c r="AM39" s="18" t="e">
        <f t="shared" ca="1" si="9"/>
        <v>#REF!</v>
      </c>
      <c r="AN39" s="18">
        <f t="shared" ca="1" si="6"/>
        <v>17</v>
      </c>
      <c r="AO39" s="18" t="e">
        <f t="shared" ca="1" si="10"/>
        <v>#REF!</v>
      </c>
      <c r="AP39" s="18"/>
      <c r="AQ39" s="18"/>
      <c r="AR39" s="18"/>
      <c r="AT39" s="18" t="e">
        <f t="shared" ca="1" si="7"/>
        <v>#REF!</v>
      </c>
      <c r="AU39" s="198" t="str">
        <f t="shared" si="14"/>
        <v/>
      </c>
    </row>
    <row r="40" spans="1:47" ht="15" thickBot="1" x14ac:dyDescent="0.45">
      <c r="A40" s="203">
        <v>35</v>
      </c>
      <c r="B40" s="204" t="str">
        <f>IF(Coverage!$B40="","",Coverage!$B40)</f>
        <v/>
      </c>
      <c r="C40" s="34" t="str">
        <f t="shared" si="12"/>
        <v/>
      </c>
      <c r="D40" s="195" t="str">
        <f>Service_Numbers!AA40</f>
        <v/>
      </c>
      <c r="E40" s="195" t="str">
        <f>Service_Numbers!AB40</f>
        <v/>
      </c>
      <c r="F40" s="195" t="str">
        <f>Service_Numbers!AC40</f>
        <v/>
      </c>
      <c r="G40" s="195" t="str">
        <f>Service_Numbers!AD40</f>
        <v/>
      </c>
      <c r="H40" s="49">
        <f t="shared" si="13"/>
        <v>0</v>
      </c>
      <c r="I40" s="202">
        <f>IF('2. CHW Input'!$C$2&lt;&gt;"Policy",$H40*Service_Numbers!L40,IF('4. Policy Interactive Screen'!$D49&gt;0,$H40*Service_Numbers!L40,0))*'3. Intervention Details'!$H40</f>
        <v>0</v>
      </c>
      <c r="J40" s="202">
        <f>IF('2. CHW Input'!$C$2&lt;&gt;"Policy",$H40*Service_Numbers!M40,IF('4. Policy Interactive Screen'!$G49&gt;0,$H40*Service_Numbers!M40,0))*'3. Intervention Details'!$H40</f>
        <v>0</v>
      </c>
      <c r="K40" s="202">
        <f>IF('2. CHW Input'!$C$2&lt;&gt;"Policy",$H40*Service_Numbers!N40,IF('4. Policy Interactive Screen'!$J49&gt;0,$H40*Service_Numbers!N40,0))*'3. Intervention Details'!$H40</f>
        <v>0</v>
      </c>
      <c r="L40" s="202">
        <f>IF('2. CHW Input'!$C$2&lt;&gt;"Policy",$H40*Service_Numbers!O40,IF('4. Policy Interactive Screen'!$G49&gt;0,$H40*Service_Numbers!O40,0))*'3. Intervention Details'!$H40</f>
        <v>0</v>
      </c>
      <c r="AK40" s="18" t="str">
        <f t="shared" si="15"/>
        <v/>
      </c>
      <c r="AL40" s="18">
        <f t="shared" si="11"/>
        <v>39</v>
      </c>
      <c r="AM40" s="18" t="e">
        <f t="shared" ca="1" si="9"/>
        <v>#REF!</v>
      </c>
      <c r="AN40" s="18">
        <f t="shared" ca="1" si="6"/>
        <v>17</v>
      </c>
      <c r="AO40" s="18" t="e">
        <f t="shared" ca="1" si="10"/>
        <v>#REF!</v>
      </c>
      <c r="AP40" s="18"/>
      <c r="AQ40" s="18"/>
      <c r="AR40" s="18"/>
      <c r="AT40" s="18" t="e">
        <f t="shared" ca="1" si="7"/>
        <v>#REF!</v>
      </c>
      <c r="AU40" s="198" t="str">
        <f t="shared" si="14"/>
        <v/>
      </c>
    </row>
    <row r="41" spans="1:47" ht="15" thickBot="1" x14ac:dyDescent="0.45">
      <c r="A41" s="203">
        <v>36</v>
      </c>
      <c r="B41" s="204" t="str">
        <f>IF(Coverage!$B41="","",Coverage!$B41)</f>
        <v/>
      </c>
      <c r="C41" s="34" t="str">
        <f t="shared" si="12"/>
        <v/>
      </c>
      <c r="D41" s="195" t="str">
        <f>Service_Numbers!AA41</f>
        <v/>
      </c>
      <c r="E41" s="195" t="str">
        <f>Service_Numbers!AB41</f>
        <v/>
      </c>
      <c r="F41" s="195" t="str">
        <f>Service_Numbers!AC41</f>
        <v/>
      </c>
      <c r="G41" s="195" t="str">
        <f>Service_Numbers!AD41</f>
        <v/>
      </c>
      <c r="H41" s="49">
        <f t="shared" si="13"/>
        <v>0</v>
      </c>
      <c r="I41" s="202">
        <f>IF('2. CHW Input'!$C$2&lt;&gt;"Policy",$H41*Service_Numbers!L41,IF('4. Policy Interactive Screen'!$D50&gt;0,$H41*Service_Numbers!L41,0))*'3. Intervention Details'!$H41</f>
        <v>0</v>
      </c>
      <c r="J41" s="202">
        <f>IF('2. CHW Input'!$C$2&lt;&gt;"Policy",$H41*Service_Numbers!M41,IF('4. Policy Interactive Screen'!$G50&gt;0,$H41*Service_Numbers!M41,0))*'3. Intervention Details'!$H41</f>
        <v>0</v>
      </c>
      <c r="K41" s="202">
        <f>IF('2. CHW Input'!$C$2&lt;&gt;"Policy",$H41*Service_Numbers!N41,IF('4. Policy Interactive Screen'!$J50&gt;0,$H41*Service_Numbers!N41,0))*'3. Intervention Details'!$H41</f>
        <v>0</v>
      </c>
      <c r="L41" s="202">
        <f>IF('2. CHW Input'!$C$2&lt;&gt;"Policy",$H41*Service_Numbers!O41,IF('4. Policy Interactive Screen'!$G50&gt;0,$H41*Service_Numbers!O41,0))*'3. Intervention Details'!$H41</f>
        <v>0</v>
      </c>
      <c r="AK41" s="18" t="str">
        <f t="shared" si="15"/>
        <v/>
      </c>
      <c r="AL41" s="18">
        <f t="shared" si="11"/>
        <v>40</v>
      </c>
      <c r="AM41" s="18" t="e">
        <f t="shared" ca="1" si="9"/>
        <v>#REF!</v>
      </c>
      <c r="AN41" s="18">
        <f t="shared" ca="1" si="6"/>
        <v>17</v>
      </c>
      <c r="AO41" s="18" t="e">
        <f t="shared" ca="1" si="10"/>
        <v>#REF!</v>
      </c>
      <c r="AP41" s="18"/>
      <c r="AQ41" s="18"/>
      <c r="AR41" s="18"/>
      <c r="AT41" s="18" t="e">
        <f t="shared" ca="1" si="7"/>
        <v>#REF!</v>
      </c>
      <c r="AU41" s="198" t="str">
        <f t="shared" si="14"/>
        <v/>
      </c>
    </row>
    <row r="42" spans="1:47" ht="15" thickBot="1" x14ac:dyDescent="0.45">
      <c r="A42" s="203">
        <v>37</v>
      </c>
      <c r="B42" s="204" t="str">
        <f>IF(Coverage!$B42="","",Coverage!$B42)</f>
        <v/>
      </c>
      <c r="C42" s="34" t="str">
        <f t="shared" si="12"/>
        <v/>
      </c>
      <c r="D42" s="195" t="str">
        <f>Service_Numbers!AA42</f>
        <v/>
      </c>
      <c r="E42" s="195" t="str">
        <f>Service_Numbers!AB42</f>
        <v/>
      </c>
      <c r="F42" s="195" t="str">
        <f>Service_Numbers!AC42</f>
        <v/>
      </c>
      <c r="G42" s="195" t="str">
        <f>Service_Numbers!AD42</f>
        <v/>
      </c>
      <c r="H42" s="49">
        <f t="shared" si="13"/>
        <v>0</v>
      </c>
      <c r="I42" s="202">
        <f>IF('2. CHW Input'!$C$2&lt;&gt;"Policy",$H42*Service_Numbers!L42,IF('4. Policy Interactive Screen'!$D51&gt;0,$H42*Service_Numbers!L42,0))*'3. Intervention Details'!$H42</f>
        <v>0</v>
      </c>
      <c r="J42" s="202">
        <f>IF('2. CHW Input'!$C$2&lt;&gt;"Policy",$H42*Service_Numbers!M42,IF('4. Policy Interactive Screen'!$G51&gt;0,$H42*Service_Numbers!M42,0))*'3. Intervention Details'!$H42</f>
        <v>0</v>
      </c>
      <c r="K42" s="202">
        <f>IF('2. CHW Input'!$C$2&lt;&gt;"Policy",$H42*Service_Numbers!N42,IF('4. Policy Interactive Screen'!$J51&gt;0,$H42*Service_Numbers!N42,0))*'3. Intervention Details'!$H42</f>
        <v>0</v>
      </c>
      <c r="L42" s="202">
        <f>IF('2. CHW Input'!$C$2&lt;&gt;"Policy",$H42*Service_Numbers!O42,IF('4. Policy Interactive Screen'!$G51&gt;0,$H42*Service_Numbers!O42,0))*'3. Intervention Details'!$H42</f>
        <v>0</v>
      </c>
      <c r="AK42" s="18" t="str">
        <f t="shared" si="15"/>
        <v/>
      </c>
      <c r="AL42" s="18">
        <f t="shared" si="11"/>
        <v>41</v>
      </c>
      <c r="AM42" s="18" t="e">
        <f t="shared" ca="1" si="9"/>
        <v>#REF!</v>
      </c>
      <c r="AN42" s="18">
        <f t="shared" ca="1" si="6"/>
        <v>17</v>
      </c>
      <c r="AO42" s="18" t="e">
        <f t="shared" ca="1" si="10"/>
        <v>#REF!</v>
      </c>
      <c r="AP42" s="18"/>
      <c r="AQ42" s="18"/>
      <c r="AR42" s="18"/>
      <c r="AT42" s="18" t="e">
        <f t="shared" ca="1" si="7"/>
        <v>#REF!</v>
      </c>
      <c r="AU42" s="198" t="str">
        <f t="shared" si="14"/>
        <v/>
      </c>
    </row>
    <row r="43" spans="1:47" ht="15" thickBot="1" x14ac:dyDescent="0.45">
      <c r="A43" s="203">
        <v>38</v>
      </c>
      <c r="B43" s="204" t="str">
        <f>IF(Coverage!$B43="","",Coverage!$B43)</f>
        <v/>
      </c>
      <c r="C43" s="34" t="str">
        <f t="shared" si="12"/>
        <v/>
      </c>
      <c r="D43" s="195" t="str">
        <f>Service_Numbers!AA43</f>
        <v/>
      </c>
      <c r="E43" s="195" t="str">
        <f>Service_Numbers!AB43</f>
        <v/>
      </c>
      <c r="F43" s="195" t="str">
        <f>Service_Numbers!AC43</f>
        <v/>
      </c>
      <c r="G43" s="195" t="str">
        <f>Service_Numbers!AD43</f>
        <v/>
      </c>
      <c r="H43" s="49">
        <f t="shared" si="13"/>
        <v>0</v>
      </c>
      <c r="I43" s="202">
        <f>IF('2. CHW Input'!$C$2&lt;&gt;"Policy",$H43*Service_Numbers!L43,IF('4. Policy Interactive Screen'!$D52&gt;0,$H43*Service_Numbers!L43,0))*'3. Intervention Details'!$H43</f>
        <v>0</v>
      </c>
      <c r="J43" s="202">
        <f>IF('2. CHW Input'!$C$2&lt;&gt;"Policy",$H43*Service_Numbers!M43,IF('4. Policy Interactive Screen'!$G52&gt;0,$H43*Service_Numbers!M43,0))*'3. Intervention Details'!$H43</f>
        <v>0</v>
      </c>
      <c r="K43" s="202">
        <f>IF('2. CHW Input'!$C$2&lt;&gt;"Policy",$H43*Service_Numbers!N43,IF('4. Policy Interactive Screen'!$J52&gt;0,$H43*Service_Numbers!N43,0))*'3. Intervention Details'!$H43</f>
        <v>0</v>
      </c>
      <c r="L43" s="202">
        <f>IF('2. CHW Input'!$C$2&lt;&gt;"Policy",$H43*Service_Numbers!O43,IF('4. Policy Interactive Screen'!$G52&gt;0,$H43*Service_Numbers!O43,0))*'3. Intervention Details'!$H43</f>
        <v>0</v>
      </c>
      <c r="AK43" s="18" t="str">
        <f t="shared" si="15"/>
        <v/>
      </c>
      <c r="AL43" s="18">
        <f t="shared" si="11"/>
        <v>42</v>
      </c>
      <c r="AM43" s="18" t="e">
        <f t="shared" ca="1" si="9"/>
        <v>#REF!</v>
      </c>
      <c r="AN43" s="18">
        <f t="shared" ca="1" si="6"/>
        <v>17</v>
      </c>
      <c r="AO43" s="18" t="e">
        <f t="shared" ca="1" si="10"/>
        <v>#REF!</v>
      </c>
      <c r="AP43" s="18"/>
      <c r="AQ43" s="18"/>
      <c r="AR43" s="18"/>
      <c r="AT43" s="18" t="e">
        <f t="shared" ca="1" si="7"/>
        <v>#REF!</v>
      </c>
      <c r="AU43" s="198" t="str">
        <f t="shared" si="14"/>
        <v/>
      </c>
    </row>
    <row r="44" spans="1:47" ht="15" thickBot="1" x14ac:dyDescent="0.45">
      <c r="A44" s="203">
        <v>39</v>
      </c>
      <c r="B44" s="204" t="str">
        <f>IF(Coverage!$B44="","",Coverage!$B44)</f>
        <v/>
      </c>
      <c r="C44" s="34" t="str">
        <f t="shared" si="12"/>
        <v/>
      </c>
      <c r="D44" s="195" t="str">
        <f>Service_Numbers!AA44</f>
        <v/>
      </c>
      <c r="E44" s="195" t="str">
        <f>Service_Numbers!AB44</f>
        <v/>
      </c>
      <c r="F44" s="195" t="str">
        <f>Service_Numbers!AC44</f>
        <v/>
      </c>
      <c r="G44" s="195" t="str">
        <f>Service_Numbers!AD44</f>
        <v/>
      </c>
      <c r="H44" s="49">
        <f t="shared" si="13"/>
        <v>0</v>
      </c>
      <c r="I44" s="202">
        <f>IF('2. CHW Input'!$C$2&lt;&gt;"Policy",$H44*Service_Numbers!L44,IF('4. Policy Interactive Screen'!$D53&gt;0,$H44*Service_Numbers!L44,0))*'3. Intervention Details'!$H44</f>
        <v>0</v>
      </c>
      <c r="J44" s="202">
        <f>IF('2. CHW Input'!$C$2&lt;&gt;"Policy",$H44*Service_Numbers!M44,IF('4. Policy Interactive Screen'!$G53&gt;0,$H44*Service_Numbers!M44,0))*'3. Intervention Details'!$H44</f>
        <v>0</v>
      </c>
      <c r="K44" s="202">
        <f>IF('2. CHW Input'!$C$2&lt;&gt;"Policy",$H44*Service_Numbers!N44,IF('4. Policy Interactive Screen'!$J53&gt;0,$H44*Service_Numbers!N44,0))*'3. Intervention Details'!$H44</f>
        <v>0</v>
      </c>
      <c r="L44" s="202">
        <f>IF('2. CHW Input'!$C$2&lt;&gt;"Policy",$H44*Service_Numbers!O44,IF('4. Policy Interactive Screen'!$G53&gt;0,$H44*Service_Numbers!O44,0))*'3. Intervention Details'!$H44</f>
        <v>0</v>
      </c>
      <c r="AK44" s="18" t="str">
        <f t="shared" si="15"/>
        <v/>
      </c>
      <c r="AL44" s="18">
        <f t="shared" si="11"/>
        <v>43</v>
      </c>
      <c r="AM44" s="18" t="e">
        <f t="shared" ca="1" si="9"/>
        <v>#REF!</v>
      </c>
      <c r="AN44" s="18">
        <f t="shared" ca="1" si="6"/>
        <v>17</v>
      </c>
      <c r="AO44" s="18" t="e">
        <f t="shared" ca="1" si="10"/>
        <v>#REF!</v>
      </c>
      <c r="AP44" s="18"/>
      <c r="AQ44" s="18"/>
      <c r="AR44" s="18"/>
      <c r="AT44" s="18" t="e">
        <f t="shared" ca="1" si="7"/>
        <v>#REF!</v>
      </c>
      <c r="AU44" s="198" t="str">
        <f t="shared" si="14"/>
        <v/>
      </c>
    </row>
    <row r="45" spans="1:47" ht="15" thickBot="1" x14ac:dyDescent="0.45">
      <c r="A45" s="203">
        <v>40</v>
      </c>
      <c r="B45" s="204" t="str">
        <f>IF(Coverage!$B45="","",Coverage!$B45)</f>
        <v/>
      </c>
      <c r="C45" s="34" t="str">
        <f t="shared" si="12"/>
        <v/>
      </c>
      <c r="D45" s="195" t="str">
        <f>Service_Numbers!AA45</f>
        <v/>
      </c>
      <c r="E45" s="195" t="str">
        <f>Service_Numbers!AB45</f>
        <v/>
      </c>
      <c r="F45" s="195" t="str">
        <f>Service_Numbers!AC45</f>
        <v/>
      </c>
      <c r="G45" s="195" t="str">
        <f>Service_Numbers!AD45</f>
        <v/>
      </c>
      <c r="H45" s="49">
        <f t="shared" si="13"/>
        <v>0</v>
      </c>
      <c r="I45" s="202">
        <f>IF('2. CHW Input'!$C$2&lt;&gt;"Policy",$H45*Service_Numbers!L45,IF('4. Policy Interactive Screen'!$D54&gt;0,$H45*Service_Numbers!L45,0))*'3. Intervention Details'!$H45</f>
        <v>0</v>
      </c>
      <c r="J45" s="202">
        <f>IF('2. CHW Input'!$C$2&lt;&gt;"Policy",$H45*Service_Numbers!M45,IF('4. Policy Interactive Screen'!$G54&gt;0,$H45*Service_Numbers!M45,0))*'3. Intervention Details'!$H45</f>
        <v>0</v>
      </c>
      <c r="K45" s="202">
        <f>IF('2. CHW Input'!$C$2&lt;&gt;"Policy",$H45*Service_Numbers!N45,IF('4. Policy Interactive Screen'!$J54&gt;0,$H45*Service_Numbers!N45,0))*'3. Intervention Details'!$H45</f>
        <v>0</v>
      </c>
      <c r="L45" s="202">
        <f>IF('2. CHW Input'!$C$2&lt;&gt;"Policy",$H45*Service_Numbers!O45,IF('4. Policy Interactive Screen'!$G54&gt;0,$H45*Service_Numbers!O45,0))*'3. Intervention Details'!$H45</f>
        <v>0</v>
      </c>
      <c r="AK45" s="18" t="str">
        <f t="shared" si="15"/>
        <v/>
      </c>
      <c r="AL45" s="18">
        <f t="shared" si="11"/>
        <v>44</v>
      </c>
      <c r="AM45" s="18" t="e">
        <f t="shared" ca="1" si="9"/>
        <v>#REF!</v>
      </c>
      <c r="AN45" s="18">
        <f t="shared" ca="1" si="6"/>
        <v>17</v>
      </c>
      <c r="AO45" s="18" t="e">
        <f t="shared" ca="1" si="10"/>
        <v>#REF!</v>
      </c>
      <c r="AP45" s="18"/>
      <c r="AQ45" s="18"/>
      <c r="AR45" s="18"/>
      <c r="AT45" s="18" t="e">
        <f t="shared" ca="1" si="7"/>
        <v>#REF!</v>
      </c>
      <c r="AU45" s="198" t="str">
        <f t="shared" si="14"/>
        <v/>
      </c>
    </row>
    <row r="46" spans="1:47" ht="15" thickBot="1" x14ac:dyDescent="0.45">
      <c r="A46" s="203">
        <v>41</v>
      </c>
      <c r="B46" s="204" t="str">
        <f>IF(Coverage!$B46="","",Coverage!$B46)</f>
        <v/>
      </c>
      <c r="C46" s="34" t="str">
        <f t="shared" si="12"/>
        <v/>
      </c>
      <c r="D46" s="195" t="str">
        <f>Service_Numbers!AA46</f>
        <v/>
      </c>
      <c r="E46" s="195" t="str">
        <f>Service_Numbers!AB46</f>
        <v/>
      </c>
      <c r="F46" s="195" t="str">
        <f>Service_Numbers!AC46</f>
        <v/>
      </c>
      <c r="G46" s="195" t="str">
        <f>Service_Numbers!AD46</f>
        <v/>
      </c>
      <c r="H46" s="49">
        <f t="shared" si="13"/>
        <v>0</v>
      </c>
      <c r="I46" s="202">
        <f>IF('2. CHW Input'!$C$2&lt;&gt;"Policy",$H46*Service_Numbers!L46,IF('4. Policy Interactive Screen'!$D55&gt;0,$H46*Service_Numbers!L46,0))*'3. Intervention Details'!$H46</f>
        <v>0</v>
      </c>
      <c r="J46" s="202">
        <f>IF('2. CHW Input'!$C$2&lt;&gt;"Policy",$H46*Service_Numbers!M46,IF('4. Policy Interactive Screen'!$G55&gt;0,$H46*Service_Numbers!M46,0))*'3. Intervention Details'!$H46</f>
        <v>0</v>
      </c>
      <c r="K46" s="202">
        <f>IF('2. CHW Input'!$C$2&lt;&gt;"Policy",$H46*Service_Numbers!N46,IF('4. Policy Interactive Screen'!$J55&gt;0,$H46*Service_Numbers!N46,0))*'3. Intervention Details'!$H46</f>
        <v>0</v>
      </c>
      <c r="L46" s="202">
        <f>IF('2. CHW Input'!$C$2&lt;&gt;"Policy",$H46*Service_Numbers!O46,IF('4. Policy Interactive Screen'!$G55&gt;0,$H46*Service_Numbers!O46,0))*'3. Intervention Details'!$H46</f>
        <v>0</v>
      </c>
      <c r="AK46" s="18" t="str">
        <f t="shared" si="15"/>
        <v/>
      </c>
      <c r="AL46" s="18">
        <f t="shared" si="11"/>
        <v>45</v>
      </c>
      <c r="AM46" s="18" t="e">
        <f t="shared" ca="1" si="9"/>
        <v>#REF!</v>
      </c>
      <c r="AN46" s="18">
        <f t="shared" ca="1" si="6"/>
        <v>17</v>
      </c>
      <c r="AO46" s="18" t="e">
        <f t="shared" ca="1" si="10"/>
        <v>#REF!</v>
      </c>
      <c r="AP46" s="18"/>
      <c r="AQ46" s="18"/>
      <c r="AR46" s="18"/>
      <c r="AT46" s="18" t="e">
        <f t="shared" ca="1" si="7"/>
        <v>#REF!</v>
      </c>
      <c r="AU46" s="198" t="str">
        <f t="shared" si="14"/>
        <v/>
      </c>
    </row>
    <row r="47" spans="1:47" ht="15" thickBot="1" x14ac:dyDescent="0.45">
      <c r="A47" s="203">
        <v>42</v>
      </c>
      <c r="B47" s="204" t="str">
        <f>IF(Coverage!$B47="","",Coverage!$B47)</f>
        <v/>
      </c>
      <c r="C47" s="34" t="str">
        <f t="shared" si="12"/>
        <v/>
      </c>
      <c r="D47" s="195" t="str">
        <f>Service_Numbers!AA47</f>
        <v/>
      </c>
      <c r="E47" s="195" t="str">
        <f>Service_Numbers!AB47</f>
        <v/>
      </c>
      <c r="F47" s="195" t="str">
        <f>Service_Numbers!AC47</f>
        <v/>
      </c>
      <c r="G47" s="195" t="str">
        <f>Service_Numbers!AD47</f>
        <v/>
      </c>
      <c r="H47" s="49">
        <f t="shared" si="13"/>
        <v>0</v>
      </c>
      <c r="I47" s="202">
        <f>IF('2. CHW Input'!$C$2&lt;&gt;"Policy",$H47*Service_Numbers!L47,IF('4. Policy Interactive Screen'!$D56&gt;0,$H47*Service_Numbers!L47,0))*'3. Intervention Details'!$H47</f>
        <v>0</v>
      </c>
      <c r="J47" s="202">
        <f>IF('2. CHW Input'!$C$2&lt;&gt;"Policy",$H47*Service_Numbers!M47,IF('4. Policy Interactive Screen'!$G56&gt;0,$H47*Service_Numbers!M47,0))*'3. Intervention Details'!$H47</f>
        <v>0</v>
      </c>
      <c r="K47" s="202">
        <f>IF('2. CHW Input'!$C$2&lt;&gt;"Policy",$H47*Service_Numbers!N47,IF('4. Policy Interactive Screen'!$J56&gt;0,$H47*Service_Numbers!N47,0))*'3. Intervention Details'!$H47</f>
        <v>0</v>
      </c>
      <c r="L47" s="202">
        <f>IF('2. CHW Input'!$C$2&lt;&gt;"Policy",$H47*Service_Numbers!O47,IF('4. Policy Interactive Screen'!$G56&gt;0,$H47*Service_Numbers!O47,0))*'3. Intervention Details'!$H47</f>
        <v>0</v>
      </c>
      <c r="AK47" s="18" t="str">
        <f t="shared" si="15"/>
        <v/>
      </c>
      <c r="AL47" s="18">
        <f t="shared" si="11"/>
        <v>46</v>
      </c>
      <c r="AM47" s="18" t="e">
        <f t="shared" ca="1" si="9"/>
        <v>#REF!</v>
      </c>
      <c r="AN47" s="18">
        <f t="shared" ca="1" si="6"/>
        <v>17</v>
      </c>
      <c r="AO47" s="18" t="e">
        <f t="shared" ca="1" si="10"/>
        <v>#REF!</v>
      </c>
      <c r="AP47" s="18"/>
      <c r="AQ47" s="18"/>
      <c r="AR47" s="18"/>
      <c r="AT47" s="18" t="e">
        <f t="shared" ca="1" si="7"/>
        <v>#REF!</v>
      </c>
      <c r="AU47" s="198" t="str">
        <f t="shared" si="14"/>
        <v/>
      </c>
    </row>
    <row r="48" spans="1:47" ht="15" thickBot="1" x14ac:dyDescent="0.45">
      <c r="A48" s="203">
        <v>43</v>
      </c>
      <c r="B48" s="204" t="str">
        <f>IF(Coverage!$B48="","",Coverage!$B48)</f>
        <v/>
      </c>
      <c r="C48" s="34" t="str">
        <f t="shared" si="12"/>
        <v/>
      </c>
      <c r="D48" s="195" t="str">
        <f>Service_Numbers!AA48</f>
        <v/>
      </c>
      <c r="E48" s="195" t="str">
        <f>Service_Numbers!AB48</f>
        <v/>
      </c>
      <c r="F48" s="195" t="str">
        <f>Service_Numbers!AC48</f>
        <v/>
      </c>
      <c r="G48" s="195" t="str">
        <f>Service_Numbers!AD48</f>
        <v/>
      </c>
      <c r="H48" s="49">
        <f t="shared" si="13"/>
        <v>0</v>
      </c>
      <c r="I48" s="202">
        <f>IF('2. CHW Input'!$C$2&lt;&gt;"Policy",$H48*Service_Numbers!L48,IF('4. Policy Interactive Screen'!$D57&gt;0,$H48*Service_Numbers!L48,0))*'3. Intervention Details'!$H48</f>
        <v>0</v>
      </c>
      <c r="J48" s="202">
        <f>IF('2. CHW Input'!$C$2&lt;&gt;"Policy",$H48*Service_Numbers!M48,IF('4. Policy Interactive Screen'!$G57&gt;0,$H48*Service_Numbers!M48,0))*'3. Intervention Details'!$H48</f>
        <v>0</v>
      </c>
      <c r="K48" s="202">
        <f>IF('2. CHW Input'!$C$2&lt;&gt;"Policy",$H48*Service_Numbers!N48,IF('4. Policy Interactive Screen'!$J57&gt;0,$H48*Service_Numbers!N48,0))*'3. Intervention Details'!$H48</f>
        <v>0</v>
      </c>
      <c r="L48" s="202">
        <f>IF('2. CHW Input'!$C$2&lt;&gt;"Policy",$H48*Service_Numbers!O48,IF('4. Policy Interactive Screen'!$G57&gt;0,$H48*Service_Numbers!O48,0))*'3. Intervention Details'!$H48</f>
        <v>0</v>
      </c>
      <c r="AK48" s="18" t="str">
        <f t="shared" si="15"/>
        <v/>
      </c>
      <c r="AL48" s="18">
        <f t="shared" si="11"/>
        <v>47</v>
      </c>
      <c r="AM48" s="18" t="e">
        <f t="shared" ca="1" si="9"/>
        <v>#REF!</v>
      </c>
      <c r="AN48" s="18">
        <f t="shared" ca="1" si="6"/>
        <v>17</v>
      </c>
      <c r="AO48" s="18" t="e">
        <f t="shared" ca="1" si="10"/>
        <v>#REF!</v>
      </c>
      <c r="AP48" s="18"/>
      <c r="AQ48" s="18"/>
      <c r="AR48" s="18"/>
      <c r="AT48" s="18" t="e">
        <f t="shared" ca="1" si="7"/>
        <v>#REF!</v>
      </c>
      <c r="AU48" s="198" t="str">
        <f t="shared" si="14"/>
        <v/>
      </c>
    </row>
    <row r="49" spans="1:47" ht="15" thickBot="1" x14ac:dyDescent="0.45">
      <c r="A49" s="203">
        <v>44</v>
      </c>
      <c r="B49" s="204" t="str">
        <f>IF(Coverage!$B49="","",Coverage!$B49)</f>
        <v/>
      </c>
      <c r="C49" s="34" t="str">
        <f t="shared" si="12"/>
        <v/>
      </c>
      <c r="D49" s="195" t="str">
        <f>Service_Numbers!AA49</f>
        <v/>
      </c>
      <c r="E49" s="195" t="str">
        <f>Service_Numbers!AB49</f>
        <v/>
      </c>
      <c r="F49" s="195" t="str">
        <f>Service_Numbers!AC49</f>
        <v/>
      </c>
      <c r="G49" s="195" t="str">
        <f>Service_Numbers!AD49</f>
        <v/>
      </c>
      <c r="H49" s="49">
        <f t="shared" si="13"/>
        <v>0</v>
      </c>
      <c r="I49" s="202">
        <f>IF('2. CHW Input'!$C$2&lt;&gt;"Policy",$H49*Service_Numbers!L49,IF('4. Policy Interactive Screen'!$D58&gt;0,$H49*Service_Numbers!L49,0))*'3. Intervention Details'!$H49</f>
        <v>0</v>
      </c>
      <c r="J49" s="202">
        <f>IF('2. CHW Input'!$C$2&lt;&gt;"Policy",$H49*Service_Numbers!M49,IF('4. Policy Interactive Screen'!$G58&gt;0,$H49*Service_Numbers!M49,0))*'3. Intervention Details'!$H49</f>
        <v>0</v>
      </c>
      <c r="K49" s="202">
        <f>IF('2. CHW Input'!$C$2&lt;&gt;"Policy",$H49*Service_Numbers!N49,IF('4. Policy Interactive Screen'!$J58&gt;0,$H49*Service_Numbers!N49,0))*'3. Intervention Details'!$H49</f>
        <v>0</v>
      </c>
      <c r="L49" s="202">
        <f>IF('2. CHW Input'!$C$2&lt;&gt;"Policy",$H49*Service_Numbers!O49,IF('4. Policy Interactive Screen'!$G58&gt;0,$H49*Service_Numbers!O49,0))*'3. Intervention Details'!$H49</f>
        <v>0</v>
      </c>
      <c r="AK49" s="18" t="str">
        <f t="shared" si="15"/>
        <v/>
      </c>
      <c r="AL49" s="18">
        <f t="shared" si="11"/>
        <v>48</v>
      </c>
      <c r="AM49" s="18" t="e">
        <f t="shared" ca="1" si="9"/>
        <v>#REF!</v>
      </c>
      <c r="AN49" s="18">
        <f t="shared" ca="1" si="6"/>
        <v>17</v>
      </c>
      <c r="AO49" s="18" t="e">
        <f t="shared" ca="1" si="10"/>
        <v>#REF!</v>
      </c>
      <c r="AP49" s="18"/>
      <c r="AQ49" s="18"/>
      <c r="AR49" s="18"/>
      <c r="AT49" s="18" t="e">
        <f t="shared" ca="1" si="7"/>
        <v>#REF!</v>
      </c>
      <c r="AU49" s="198" t="str">
        <f t="shared" si="14"/>
        <v/>
      </c>
    </row>
    <row r="50" spans="1:47" ht="15" thickBot="1" x14ac:dyDescent="0.45">
      <c r="A50" s="203">
        <v>45</v>
      </c>
      <c r="B50" s="204" t="str">
        <f>IF(Coverage!$B50="","",Coverage!$B50)</f>
        <v/>
      </c>
      <c r="C50" s="34" t="str">
        <f t="shared" si="12"/>
        <v/>
      </c>
      <c r="D50" s="195" t="str">
        <f>Service_Numbers!AA50</f>
        <v/>
      </c>
      <c r="E50" s="195" t="str">
        <f>Service_Numbers!AB50</f>
        <v/>
      </c>
      <c r="F50" s="195" t="str">
        <f>Service_Numbers!AC50</f>
        <v/>
      </c>
      <c r="G50" s="195" t="str">
        <f>Service_Numbers!AD50</f>
        <v/>
      </c>
      <c r="H50" s="49">
        <f t="shared" si="13"/>
        <v>0</v>
      </c>
      <c r="I50" s="202">
        <f>IF('2. CHW Input'!$C$2&lt;&gt;"Policy",$H50*Service_Numbers!L50,IF('4. Policy Interactive Screen'!$D59&gt;0,$H50*Service_Numbers!L50,0))*'3. Intervention Details'!$H50</f>
        <v>0</v>
      </c>
      <c r="J50" s="202">
        <f>IF('2. CHW Input'!$C$2&lt;&gt;"Policy",$H50*Service_Numbers!M50,IF('4. Policy Interactive Screen'!$G59&gt;0,$H50*Service_Numbers!M50,0))*'3. Intervention Details'!$H50</f>
        <v>0</v>
      </c>
      <c r="K50" s="202">
        <f>IF('2. CHW Input'!$C$2&lt;&gt;"Policy",$H50*Service_Numbers!N50,IF('4. Policy Interactive Screen'!$J59&gt;0,$H50*Service_Numbers!N50,0))*'3. Intervention Details'!$H50</f>
        <v>0</v>
      </c>
      <c r="L50" s="202">
        <f>IF('2. CHW Input'!$C$2&lt;&gt;"Policy",$H50*Service_Numbers!O50,IF('4. Policy Interactive Screen'!$G59&gt;0,$H50*Service_Numbers!O50,0))*'3. Intervention Details'!$H50</f>
        <v>0</v>
      </c>
      <c r="AK50" s="18" t="str">
        <f t="shared" si="15"/>
        <v/>
      </c>
      <c r="AL50" s="18">
        <f t="shared" si="11"/>
        <v>49</v>
      </c>
      <c r="AM50" s="18" t="e">
        <f t="shared" ca="1" si="9"/>
        <v>#REF!</v>
      </c>
      <c r="AN50" s="18">
        <f t="shared" ca="1" si="6"/>
        <v>17</v>
      </c>
      <c r="AO50" s="18" t="e">
        <f t="shared" ca="1" si="10"/>
        <v>#REF!</v>
      </c>
      <c r="AP50" s="18"/>
      <c r="AQ50" s="18"/>
      <c r="AR50" s="18"/>
      <c r="AT50" s="18" t="e">
        <f t="shared" ca="1" si="7"/>
        <v>#REF!</v>
      </c>
      <c r="AU50" s="198" t="str">
        <f t="shared" si="14"/>
        <v/>
      </c>
    </row>
    <row r="51" spans="1:47" ht="15" thickBot="1" x14ac:dyDescent="0.45">
      <c r="A51" s="203">
        <v>46</v>
      </c>
      <c r="B51" s="204" t="str">
        <f>IF(Coverage!$B51="","",Coverage!$B51)</f>
        <v/>
      </c>
      <c r="C51" s="34" t="str">
        <f t="shared" si="12"/>
        <v/>
      </c>
      <c r="D51" s="195" t="str">
        <f>Service_Numbers!AA51</f>
        <v/>
      </c>
      <c r="E51" s="195" t="str">
        <f>Service_Numbers!AB51</f>
        <v/>
      </c>
      <c r="F51" s="195" t="str">
        <f>Service_Numbers!AC51</f>
        <v/>
      </c>
      <c r="G51" s="195" t="str">
        <f>Service_Numbers!AD51</f>
        <v/>
      </c>
      <c r="H51" s="49">
        <f t="shared" si="13"/>
        <v>0</v>
      </c>
      <c r="I51" s="202">
        <f>IF('2. CHW Input'!$C$2&lt;&gt;"Policy",$H51*Service_Numbers!L51,IF('4. Policy Interactive Screen'!$D60&gt;0,$H51*Service_Numbers!L51,0))*'3. Intervention Details'!$H51</f>
        <v>0</v>
      </c>
      <c r="J51" s="202">
        <f>IF('2. CHW Input'!$C$2&lt;&gt;"Policy",$H51*Service_Numbers!M51,IF('4. Policy Interactive Screen'!$G60&gt;0,$H51*Service_Numbers!M51,0))*'3. Intervention Details'!$H51</f>
        <v>0</v>
      </c>
      <c r="K51" s="202">
        <f>IF('2. CHW Input'!$C$2&lt;&gt;"Policy",$H51*Service_Numbers!N51,IF('4. Policy Interactive Screen'!$J60&gt;0,$H51*Service_Numbers!N51,0))*'3. Intervention Details'!$H51</f>
        <v>0</v>
      </c>
      <c r="L51" s="202">
        <f>IF('2. CHW Input'!$C$2&lt;&gt;"Policy",$H51*Service_Numbers!O51,IF('4. Policy Interactive Screen'!$G60&gt;0,$H51*Service_Numbers!O51,0))*'3. Intervention Details'!$H51</f>
        <v>0</v>
      </c>
      <c r="AK51" s="18" t="str">
        <f t="shared" si="15"/>
        <v/>
      </c>
      <c r="AL51" s="18">
        <f t="shared" si="11"/>
        <v>50</v>
      </c>
      <c r="AM51" s="18" t="e">
        <f t="shared" ca="1" si="9"/>
        <v>#REF!</v>
      </c>
      <c r="AN51" s="18">
        <f t="shared" ca="1" si="6"/>
        <v>17</v>
      </c>
      <c r="AO51" s="18" t="e">
        <f t="shared" ca="1" si="10"/>
        <v>#REF!</v>
      </c>
      <c r="AP51" s="18"/>
      <c r="AQ51" s="18"/>
      <c r="AR51" s="18"/>
      <c r="AT51" s="18" t="e">
        <f t="shared" ca="1" si="7"/>
        <v>#REF!</v>
      </c>
      <c r="AU51" s="198" t="str">
        <f t="shared" si="14"/>
        <v/>
      </c>
    </row>
    <row r="52" spans="1:47" ht="15" thickBot="1" x14ac:dyDescent="0.45">
      <c r="A52" s="203">
        <v>47</v>
      </c>
      <c r="B52" s="204" t="str">
        <f>IF(Coverage!$B52="","",Coverage!$B52)</f>
        <v/>
      </c>
      <c r="C52" s="34" t="str">
        <f t="shared" si="12"/>
        <v/>
      </c>
      <c r="D52" s="195" t="str">
        <f>Service_Numbers!AA52</f>
        <v/>
      </c>
      <c r="E52" s="195" t="str">
        <f>Service_Numbers!AB52</f>
        <v/>
      </c>
      <c r="F52" s="195" t="str">
        <f>Service_Numbers!AC52</f>
        <v/>
      </c>
      <c r="G52" s="195" t="str">
        <f>Service_Numbers!AD52</f>
        <v/>
      </c>
      <c r="H52" s="49">
        <f t="shared" si="13"/>
        <v>0</v>
      </c>
      <c r="I52" s="202">
        <f>IF('2. CHW Input'!$C$2&lt;&gt;"Policy",$H52*Service_Numbers!L52,IF('4. Policy Interactive Screen'!$D61&gt;0,$H52*Service_Numbers!L52,0))*'3. Intervention Details'!$H52</f>
        <v>0</v>
      </c>
      <c r="J52" s="202">
        <f>IF('2. CHW Input'!$C$2&lt;&gt;"Policy",$H52*Service_Numbers!M52,IF('4. Policy Interactive Screen'!$G61&gt;0,$H52*Service_Numbers!M52,0))*'3. Intervention Details'!$H52</f>
        <v>0</v>
      </c>
      <c r="K52" s="202">
        <f>IF('2. CHW Input'!$C$2&lt;&gt;"Policy",$H52*Service_Numbers!N52,IF('4. Policy Interactive Screen'!$J61&gt;0,$H52*Service_Numbers!N52,0))*'3. Intervention Details'!$H52</f>
        <v>0</v>
      </c>
      <c r="L52" s="202">
        <f>IF('2. CHW Input'!$C$2&lt;&gt;"Policy",$H52*Service_Numbers!O52,IF('4. Policy Interactive Screen'!$G61&gt;0,$H52*Service_Numbers!O52,0))*'3. Intervention Details'!$H52</f>
        <v>0</v>
      </c>
      <c r="AK52" s="18" t="str">
        <f t="shared" si="15"/>
        <v/>
      </c>
      <c r="AL52" s="18">
        <f t="shared" si="11"/>
        <v>51</v>
      </c>
      <c r="AM52" s="18" t="e">
        <f t="shared" ca="1" si="9"/>
        <v>#REF!</v>
      </c>
      <c r="AN52" s="18">
        <f t="shared" ca="1" si="6"/>
        <v>17</v>
      </c>
      <c r="AO52" s="18" t="e">
        <f t="shared" ca="1" si="10"/>
        <v>#REF!</v>
      </c>
      <c r="AP52" s="18"/>
      <c r="AQ52" s="18"/>
      <c r="AR52" s="18"/>
      <c r="AT52" s="18" t="e">
        <f t="shared" ca="1" si="7"/>
        <v>#REF!</v>
      </c>
      <c r="AU52" s="198" t="str">
        <f t="shared" si="14"/>
        <v/>
      </c>
    </row>
    <row r="53" spans="1:47" ht="15" thickBot="1" x14ac:dyDescent="0.45">
      <c r="A53" s="203">
        <v>48</v>
      </c>
      <c r="B53" s="204" t="str">
        <f>IF(Coverage!$B53="","",Coverage!$B53)</f>
        <v/>
      </c>
      <c r="C53" s="34" t="str">
        <f t="shared" si="12"/>
        <v/>
      </c>
      <c r="D53" s="195" t="str">
        <f>Service_Numbers!AA53</f>
        <v/>
      </c>
      <c r="E53" s="195" t="str">
        <f>Service_Numbers!AB53</f>
        <v/>
      </c>
      <c r="F53" s="195" t="str">
        <f>Service_Numbers!AC53</f>
        <v/>
      </c>
      <c r="G53" s="195" t="str">
        <f>Service_Numbers!AD53</f>
        <v/>
      </c>
      <c r="H53" s="49">
        <f t="shared" si="13"/>
        <v>0</v>
      </c>
      <c r="I53" s="202">
        <f>IF('2. CHW Input'!$C$2&lt;&gt;"Policy",$H53*Service_Numbers!L53,IF('4. Policy Interactive Screen'!$D62&gt;0,$H53*Service_Numbers!L53,0))*'3. Intervention Details'!$H53</f>
        <v>0</v>
      </c>
      <c r="J53" s="202">
        <f>IF('2. CHW Input'!$C$2&lt;&gt;"Policy",$H53*Service_Numbers!M53,IF('4. Policy Interactive Screen'!$G62&gt;0,$H53*Service_Numbers!M53,0))*'3. Intervention Details'!$H53</f>
        <v>0</v>
      </c>
      <c r="K53" s="202">
        <f>IF('2. CHW Input'!$C$2&lt;&gt;"Policy",$H53*Service_Numbers!N53,IF('4. Policy Interactive Screen'!$J62&gt;0,$H53*Service_Numbers!N53,0))*'3. Intervention Details'!$H53</f>
        <v>0</v>
      </c>
      <c r="L53" s="202">
        <f>IF('2. CHW Input'!$C$2&lt;&gt;"Policy",$H53*Service_Numbers!O53,IF('4. Policy Interactive Screen'!$G62&gt;0,$H53*Service_Numbers!O53,0))*'3. Intervention Details'!$H53</f>
        <v>0</v>
      </c>
      <c r="AK53" s="18" t="str">
        <f t="shared" si="15"/>
        <v/>
      </c>
      <c r="AL53" s="18">
        <f t="shared" si="11"/>
        <v>52</v>
      </c>
      <c r="AM53" s="18" t="e">
        <f t="shared" ca="1" si="9"/>
        <v>#REF!</v>
      </c>
      <c r="AN53" s="18">
        <f t="shared" ca="1" si="6"/>
        <v>17</v>
      </c>
      <c r="AO53" s="18" t="e">
        <f t="shared" ca="1" si="10"/>
        <v>#REF!</v>
      </c>
      <c r="AP53" s="18"/>
      <c r="AQ53" s="18"/>
      <c r="AR53" s="18"/>
      <c r="AT53" s="18" t="e">
        <f t="shared" ca="1" si="7"/>
        <v>#REF!</v>
      </c>
      <c r="AU53" s="198" t="str">
        <f t="shared" si="14"/>
        <v/>
      </c>
    </row>
    <row r="54" spans="1:47" ht="15" thickBot="1" x14ac:dyDescent="0.45">
      <c r="A54" s="203">
        <v>49</v>
      </c>
      <c r="B54" s="204" t="str">
        <f>IF(Coverage!$B54="","",Coverage!$B54)</f>
        <v/>
      </c>
      <c r="C54" s="34" t="str">
        <f t="shared" si="12"/>
        <v/>
      </c>
      <c r="D54" s="195" t="str">
        <f>Service_Numbers!AA54</f>
        <v/>
      </c>
      <c r="E54" s="195" t="str">
        <f>Service_Numbers!AB54</f>
        <v/>
      </c>
      <c r="F54" s="195" t="str">
        <f>Service_Numbers!AC54</f>
        <v/>
      </c>
      <c r="G54" s="195" t="str">
        <f>Service_Numbers!AD54</f>
        <v/>
      </c>
      <c r="H54" s="49">
        <f t="shared" si="13"/>
        <v>0</v>
      </c>
      <c r="I54" s="202">
        <f>IF('2. CHW Input'!$C$2&lt;&gt;"Policy",$H54*Service_Numbers!L54,IF('4. Policy Interactive Screen'!$D63&gt;0,$H54*Service_Numbers!L54,0))*'3. Intervention Details'!$H54</f>
        <v>0</v>
      </c>
      <c r="J54" s="202">
        <f>IF('2. CHW Input'!$C$2&lt;&gt;"Policy",$H54*Service_Numbers!M54,IF('4. Policy Interactive Screen'!$G63&gt;0,$H54*Service_Numbers!M54,0))*'3. Intervention Details'!$H54</f>
        <v>0</v>
      </c>
      <c r="K54" s="202">
        <f>IF('2. CHW Input'!$C$2&lt;&gt;"Policy",$H54*Service_Numbers!N54,IF('4. Policy Interactive Screen'!$J63&gt;0,$H54*Service_Numbers!N54,0))*'3. Intervention Details'!$H54</f>
        <v>0</v>
      </c>
      <c r="L54" s="202">
        <f>IF('2. CHW Input'!$C$2&lt;&gt;"Policy",$H54*Service_Numbers!O54,IF('4. Policy Interactive Screen'!$G63&gt;0,$H54*Service_Numbers!O54,0))*'3. Intervention Details'!$H54</f>
        <v>0</v>
      </c>
      <c r="AK54" s="18" t="str">
        <f t="shared" si="15"/>
        <v/>
      </c>
      <c r="AL54" s="18">
        <f t="shared" si="11"/>
        <v>53</v>
      </c>
      <c r="AM54" s="18" t="e">
        <f t="shared" ca="1" si="9"/>
        <v>#REF!</v>
      </c>
      <c r="AN54" s="18">
        <f t="shared" ca="1" si="6"/>
        <v>17</v>
      </c>
      <c r="AO54" s="18" t="e">
        <f t="shared" ca="1" si="10"/>
        <v>#REF!</v>
      </c>
      <c r="AP54" s="18"/>
      <c r="AQ54" s="18"/>
      <c r="AR54" s="18"/>
      <c r="AT54" s="18" t="e">
        <f t="shared" ca="1" si="7"/>
        <v>#REF!</v>
      </c>
      <c r="AU54" s="198" t="str">
        <f t="shared" si="14"/>
        <v/>
      </c>
    </row>
    <row r="55" spans="1:47" ht="15" thickBot="1" x14ac:dyDescent="0.45">
      <c r="A55" s="203">
        <v>50</v>
      </c>
      <c r="B55" s="204" t="str">
        <f>IF(Coverage!$B55="","",Coverage!$B55)</f>
        <v/>
      </c>
      <c r="C55" s="34" t="str">
        <f t="shared" si="12"/>
        <v/>
      </c>
      <c r="D55" s="195" t="str">
        <f>Service_Numbers!AA55</f>
        <v/>
      </c>
      <c r="E55" s="195" t="str">
        <f>Service_Numbers!AB55</f>
        <v/>
      </c>
      <c r="F55" s="195" t="str">
        <f>Service_Numbers!AC55</f>
        <v/>
      </c>
      <c r="G55" s="195" t="str">
        <f>Service_Numbers!AD55</f>
        <v/>
      </c>
      <c r="H55" s="49">
        <f t="shared" si="13"/>
        <v>0</v>
      </c>
      <c r="I55" s="202">
        <f>IF('2. CHW Input'!$C$2&lt;&gt;"Policy",$H55*Service_Numbers!L55,IF('4. Policy Interactive Screen'!$D64&gt;0,$H55*Service_Numbers!L55,0))*'3. Intervention Details'!$H55</f>
        <v>0</v>
      </c>
      <c r="J55" s="202">
        <f>IF('2. CHW Input'!$C$2&lt;&gt;"Policy",$H55*Service_Numbers!M55,IF('4. Policy Interactive Screen'!$G64&gt;0,$H55*Service_Numbers!M55,0))*'3. Intervention Details'!$H55</f>
        <v>0</v>
      </c>
      <c r="K55" s="202">
        <f>IF('2. CHW Input'!$C$2&lt;&gt;"Policy",$H55*Service_Numbers!N55,IF('4. Policy Interactive Screen'!$J64&gt;0,$H55*Service_Numbers!N55,0))*'3. Intervention Details'!$H55</f>
        <v>0</v>
      </c>
      <c r="L55" s="202">
        <f>IF('2. CHW Input'!$C$2&lt;&gt;"Policy",$H55*Service_Numbers!O55,IF('4. Policy Interactive Screen'!$G64&gt;0,$H55*Service_Numbers!O55,0))*'3. Intervention Details'!$H55</f>
        <v>0</v>
      </c>
      <c r="AK55" s="18" t="str">
        <f t="shared" si="15"/>
        <v/>
      </c>
      <c r="AL55" s="18">
        <f t="shared" si="11"/>
        <v>54</v>
      </c>
      <c r="AM55" s="18" t="e">
        <f t="shared" ca="1" si="9"/>
        <v>#REF!</v>
      </c>
      <c r="AN55" s="18">
        <f t="shared" ca="1" si="6"/>
        <v>17</v>
      </c>
      <c r="AO55" s="18" t="e">
        <f t="shared" ca="1" si="10"/>
        <v>#REF!</v>
      </c>
      <c r="AP55" s="18"/>
      <c r="AQ55" s="18"/>
      <c r="AR55" s="18"/>
      <c r="AT55" s="18" t="e">
        <f t="shared" ca="1" si="7"/>
        <v>#REF!</v>
      </c>
      <c r="AU55" s="198" t="str">
        <f t="shared" si="14"/>
        <v/>
      </c>
    </row>
    <row r="56" spans="1:47" ht="15" thickBot="1" x14ac:dyDescent="0.45">
      <c r="A56" s="203">
        <v>51</v>
      </c>
      <c r="B56" s="204" t="str">
        <f>IF(Coverage!$B56="","",Coverage!$B56)</f>
        <v/>
      </c>
      <c r="C56" s="34" t="str">
        <f t="shared" si="12"/>
        <v/>
      </c>
      <c r="D56" s="195" t="str">
        <f>Service_Numbers!AA56</f>
        <v/>
      </c>
      <c r="E56" s="195" t="str">
        <f>Service_Numbers!AB56</f>
        <v/>
      </c>
      <c r="F56" s="195" t="str">
        <f>Service_Numbers!AC56</f>
        <v/>
      </c>
      <c r="G56" s="195" t="str">
        <f>Service_Numbers!AD56</f>
        <v/>
      </c>
      <c r="H56" s="49">
        <f t="shared" si="13"/>
        <v>0</v>
      </c>
      <c r="I56" s="202">
        <f>IF('2. CHW Input'!$C$2&lt;&gt;"Policy",$H56*Service_Numbers!L56,IF('4. Policy Interactive Screen'!$D65&gt;0,$H56*Service_Numbers!L56,0))*'3. Intervention Details'!$H56</f>
        <v>0</v>
      </c>
      <c r="J56" s="202">
        <f>IF('2. CHW Input'!$C$2&lt;&gt;"Policy",$H56*Service_Numbers!M56,IF('4. Policy Interactive Screen'!$G65&gt;0,$H56*Service_Numbers!M56,0))*'3. Intervention Details'!$H56</f>
        <v>0</v>
      </c>
      <c r="K56" s="202">
        <f>IF('2. CHW Input'!$C$2&lt;&gt;"Policy",$H56*Service_Numbers!N56,IF('4. Policy Interactive Screen'!$J65&gt;0,$H56*Service_Numbers!N56,0))*'3. Intervention Details'!$H56</f>
        <v>0</v>
      </c>
      <c r="L56" s="202">
        <f>IF('2. CHW Input'!$C$2&lt;&gt;"Policy",$H56*Service_Numbers!O56,IF('4. Policy Interactive Screen'!$G65&gt;0,$H56*Service_Numbers!O56,0))*'3. Intervention Details'!$H56</f>
        <v>0</v>
      </c>
      <c r="AK56" s="18" t="str">
        <f t="shared" si="15"/>
        <v/>
      </c>
      <c r="AL56" s="18">
        <f t="shared" si="11"/>
        <v>55</v>
      </c>
      <c r="AM56" s="18" t="e">
        <f t="shared" ca="1" si="9"/>
        <v>#REF!</v>
      </c>
      <c r="AN56" s="18">
        <f t="shared" ca="1" si="6"/>
        <v>17</v>
      </c>
      <c r="AO56" s="18" t="e">
        <f t="shared" ca="1" si="10"/>
        <v>#REF!</v>
      </c>
      <c r="AP56" s="18"/>
      <c r="AQ56" s="18"/>
      <c r="AR56" s="18"/>
      <c r="AT56" s="18" t="e">
        <f t="shared" ca="1" si="7"/>
        <v>#REF!</v>
      </c>
      <c r="AU56" s="198" t="str">
        <f t="shared" si="14"/>
        <v/>
      </c>
    </row>
    <row r="57" spans="1:47" ht="15" thickBot="1" x14ac:dyDescent="0.45">
      <c r="A57" s="203">
        <v>52</v>
      </c>
      <c r="B57" s="204" t="str">
        <f>IF(Coverage!$B57="","",Coverage!$B57)</f>
        <v/>
      </c>
      <c r="C57" s="34" t="str">
        <f t="shared" si="12"/>
        <v/>
      </c>
      <c r="D57" s="195" t="str">
        <f>Service_Numbers!AA57</f>
        <v/>
      </c>
      <c r="E57" s="195" t="str">
        <f>Service_Numbers!AB57</f>
        <v/>
      </c>
      <c r="F57" s="195" t="str">
        <f>Service_Numbers!AC57</f>
        <v/>
      </c>
      <c r="G57" s="195" t="str">
        <f>Service_Numbers!AD57</f>
        <v/>
      </c>
      <c r="H57" s="49">
        <f t="shared" si="13"/>
        <v>0</v>
      </c>
      <c r="I57" s="202">
        <f>IF('2. CHW Input'!$C$2&lt;&gt;"Policy",$H57*Service_Numbers!L57,IF('4. Policy Interactive Screen'!$D66&gt;0,$H57*Service_Numbers!L57,0))*'3. Intervention Details'!$H57</f>
        <v>0</v>
      </c>
      <c r="J57" s="202">
        <f>IF('2. CHW Input'!$C$2&lt;&gt;"Policy",$H57*Service_Numbers!M57,IF('4. Policy Interactive Screen'!$G66&gt;0,$H57*Service_Numbers!M57,0))*'3. Intervention Details'!$H57</f>
        <v>0</v>
      </c>
      <c r="K57" s="202">
        <f>IF('2. CHW Input'!$C$2&lt;&gt;"Policy",$H57*Service_Numbers!N57,IF('4. Policy Interactive Screen'!$J66&gt;0,$H57*Service_Numbers!N57,0))*'3. Intervention Details'!$H57</f>
        <v>0</v>
      </c>
      <c r="L57" s="202">
        <f>IF('2. CHW Input'!$C$2&lt;&gt;"Policy",$H57*Service_Numbers!O57,IF('4. Policy Interactive Screen'!$G66&gt;0,$H57*Service_Numbers!O57,0))*'3. Intervention Details'!$H57</f>
        <v>0</v>
      </c>
      <c r="AK57" s="18" t="str">
        <f t="shared" si="15"/>
        <v/>
      </c>
      <c r="AL57" s="18">
        <f t="shared" si="11"/>
        <v>56</v>
      </c>
      <c r="AM57" s="18" t="e">
        <f t="shared" ca="1" si="9"/>
        <v>#REF!</v>
      </c>
      <c r="AN57" s="18">
        <f t="shared" ca="1" si="6"/>
        <v>17</v>
      </c>
      <c r="AO57" s="18" t="e">
        <f t="shared" ca="1" si="10"/>
        <v>#REF!</v>
      </c>
      <c r="AP57" s="18"/>
      <c r="AQ57" s="18"/>
      <c r="AR57" s="18"/>
      <c r="AT57" s="18" t="e">
        <f t="shared" ca="1" si="7"/>
        <v>#REF!</v>
      </c>
      <c r="AU57" s="198" t="str">
        <f t="shared" si="14"/>
        <v/>
      </c>
    </row>
    <row r="58" spans="1:47" ht="15" thickBot="1" x14ac:dyDescent="0.45">
      <c r="A58" s="203">
        <v>53</v>
      </c>
      <c r="B58" s="204" t="str">
        <f>IF(Coverage!$B58="","",Coverage!$B58)</f>
        <v/>
      </c>
      <c r="C58" s="34" t="str">
        <f t="shared" si="12"/>
        <v/>
      </c>
      <c r="D58" s="195" t="str">
        <f>Service_Numbers!AA58</f>
        <v/>
      </c>
      <c r="E58" s="195" t="str">
        <f>Service_Numbers!AB58</f>
        <v/>
      </c>
      <c r="F58" s="195" t="str">
        <f>Service_Numbers!AC58</f>
        <v/>
      </c>
      <c r="G58" s="195" t="str">
        <f>Service_Numbers!AD58</f>
        <v/>
      </c>
      <c r="H58" s="49">
        <f t="shared" si="13"/>
        <v>0</v>
      </c>
      <c r="I58" s="202">
        <f>IF('2. CHW Input'!$C$2&lt;&gt;"Policy",$H58*Service_Numbers!L58,IF('4. Policy Interactive Screen'!$D67&gt;0,$H58*Service_Numbers!L58,0))*'3. Intervention Details'!$H58</f>
        <v>0</v>
      </c>
      <c r="J58" s="202">
        <f>IF('2. CHW Input'!$C$2&lt;&gt;"Policy",$H58*Service_Numbers!M58,IF('4. Policy Interactive Screen'!$G67&gt;0,$H58*Service_Numbers!M58,0))*'3. Intervention Details'!$H58</f>
        <v>0</v>
      </c>
      <c r="K58" s="202">
        <f>IF('2. CHW Input'!$C$2&lt;&gt;"Policy",$H58*Service_Numbers!N58,IF('4. Policy Interactive Screen'!$J67&gt;0,$H58*Service_Numbers!N58,0))*'3. Intervention Details'!$H58</f>
        <v>0</v>
      </c>
      <c r="L58" s="202">
        <f>IF('2. CHW Input'!$C$2&lt;&gt;"Policy",$H58*Service_Numbers!O58,IF('4. Policy Interactive Screen'!$G67&gt;0,$H58*Service_Numbers!O58,0))*'3. Intervention Details'!$H58</f>
        <v>0</v>
      </c>
      <c r="AK58" s="18" t="str">
        <f t="shared" si="15"/>
        <v/>
      </c>
      <c r="AL58" s="18">
        <f t="shared" si="11"/>
        <v>57</v>
      </c>
      <c r="AM58" s="18" t="e">
        <f t="shared" ca="1" si="9"/>
        <v>#REF!</v>
      </c>
      <c r="AN58" s="18">
        <f t="shared" ca="1" si="6"/>
        <v>17</v>
      </c>
      <c r="AO58" s="18" t="e">
        <f t="shared" ca="1" si="10"/>
        <v>#REF!</v>
      </c>
      <c r="AP58" s="18"/>
      <c r="AQ58" s="18"/>
      <c r="AR58" s="18"/>
      <c r="AT58" s="18" t="e">
        <f t="shared" ca="1" si="7"/>
        <v>#REF!</v>
      </c>
      <c r="AU58" s="198" t="str">
        <f t="shared" si="14"/>
        <v/>
      </c>
    </row>
    <row r="59" spans="1:47" ht="15" thickBot="1" x14ac:dyDescent="0.45">
      <c r="A59" s="203">
        <v>54</v>
      </c>
      <c r="B59" s="204" t="str">
        <f>IF(Coverage!$B59="","",Coverage!$B59)</f>
        <v/>
      </c>
      <c r="C59" s="34" t="str">
        <f t="shared" si="12"/>
        <v/>
      </c>
      <c r="D59" s="195" t="str">
        <f>Service_Numbers!AA59</f>
        <v/>
      </c>
      <c r="E59" s="195" t="str">
        <f>Service_Numbers!AB59</f>
        <v/>
      </c>
      <c r="F59" s="195" t="str">
        <f>Service_Numbers!AC59</f>
        <v/>
      </c>
      <c r="G59" s="195" t="str">
        <f>Service_Numbers!AD59</f>
        <v/>
      </c>
      <c r="H59" s="49">
        <f t="shared" si="13"/>
        <v>0</v>
      </c>
      <c r="I59" s="202">
        <f>IF('2. CHW Input'!$C$2&lt;&gt;"Policy",$H59*Service_Numbers!L59,IF('4. Policy Interactive Screen'!$D68&gt;0,$H59*Service_Numbers!L59,0))*'3. Intervention Details'!$H59</f>
        <v>0</v>
      </c>
      <c r="J59" s="202">
        <f>IF('2. CHW Input'!$C$2&lt;&gt;"Policy",$H59*Service_Numbers!M59,IF('4. Policy Interactive Screen'!$G68&gt;0,$H59*Service_Numbers!M59,0))*'3. Intervention Details'!$H59</f>
        <v>0</v>
      </c>
      <c r="K59" s="202">
        <f>IF('2. CHW Input'!$C$2&lt;&gt;"Policy",$H59*Service_Numbers!N59,IF('4. Policy Interactive Screen'!$J68&gt;0,$H59*Service_Numbers!N59,0))*'3. Intervention Details'!$H59</f>
        <v>0</v>
      </c>
      <c r="L59" s="202">
        <f>IF('2. CHW Input'!$C$2&lt;&gt;"Policy",$H59*Service_Numbers!O59,IF('4. Policy Interactive Screen'!$G68&gt;0,$H59*Service_Numbers!O59,0))*'3. Intervention Details'!$H59</f>
        <v>0</v>
      </c>
      <c r="AK59" s="18" t="str">
        <f t="shared" si="15"/>
        <v/>
      </c>
      <c r="AL59" s="18">
        <f t="shared" si="11"/>
        <v>58</v>
      </c>
      <c r="AM59" s="18" t="e">
        <f t="shared" ca="1" si="9"/>
        <v>#REF!</v>
      </c>
      <c r="AN59" s="18">
        <f t="shared" ca="1" si="6"/>
        <v>17</v>
      </c>
      <c r="AO59" s="18" t="e">
        <f t="shared" ca="1" si="10"/>
        <v>#REF!</v>
      </c>
      <c r="AP59" s="18"/>
      <c r="AQ59" s="18"/>
      <c r="AR59" s="18"/>
      <c r="AT59" s="18" t="e">
        <f t="shared" ca="1" si="7"/>
        <v>#REF!</v>
      </c>
      <c r="AU59" s="198" t="str">
        <f t="shared" si="14"/>
        <v/>
      </c>
    </row>
    <row r="60" spans="1:47" ht="15" thickBot="1" x14ac:dyDescent="0.45">
      <c r="A60" s="203">
        <v>55</v>
      </c>
      <c r="B60" s="204" t="str">
        <f>IF(Coverage!$B60="","",Coverage!$B60)</f>
        <v/>
      </c>
      <c r="C60" s="34" t="str">
        <f t="shared" si="12"/>
        <v/>
      </c>
      <c r="D60" s="195" t="str">
        <f>Service_Numbers!AA60</f>
        <v/>
      </c>
      <c r="E60" s="195" t="str">
        <f>Service_Numbers!AB60</f>
        <v/>
      </c>
      <c r="F60" s="195" t="str">
        <f>Service_Numbers!AC60</f>
        <v/>
      </c>
      <c r="G60" s="195" t="str">
        <f>Service_Numbers!AD60</f>
        <v/>
      </c>
      <c r="H60" s="49">
        <f t="shared" si="13"/>
        <v>0</v>
      </c>
      <c r="I60" s="202">
        <f>IF('2. CHW Input'!$C$2&lt;&gt;"Policy",$H60*Service_Numbers!L60,IF('4. Policy Interactive Screen'!$D69&gt;0,$H60*Service_Numbers!L60,0))*'3. Intervention Details'!$H60</f>
        <v>0</v>
      </c>
      <c r="J60" s="202">
        <f>IF('2. CHW Input'!$C$2&lt;&gt;"Policy",$H60*Service_Numbers!M60,IF('4. Policy Interactive Screen'!$G69&gt;0,$H60*Service_Numbers!M60,0))*'3. Intervention Details'!$H60</f>
        <v>0</v>
      </c>
      <c r="K60" s="202">
        <f>IF('2. CHW Input'!$C$2&lt;&gt;"Policy",$H60*Service_Numbers!N60,IF('4. Policy Interactive Screen'!$J69&gt;0,$H60*Service_Numbers!N60,0))*'3. Intervention Details'!$H60</f>
        <v>0</v>
      </c>
      <c r="L60" s="202">
        <f>IF('2. CHW Input'!$C$2&lt;&gt;"Policy",$H60*Service_Numbers!O60,IF('4. Policy Interactive Screen'!$G69&gt;0,$H60*Service_Numbers!O60,0))*'3. Intervention Details'!$H60</f>
        <v>0</v>
      </c>
      <c r="AK60" s="18" t="str">
        <f t="shared" si="15"/>
        <v/>
      </c>
      <c r="AL60" s="18">
        <f t="shared" si="11"/>
        <v>59</v>
      </c>
      <c r="AM60" s="18" t="e">
        <f t="shared" ca="1" si="9"/>
        <v>#REF!</v>
      </c>
      <c r="AN60" s="18">
        <f t="shared" ca="1" si="6"/>
        <v>17</v>
      </c>
      <c r="AO60" s="18" t="e">
        <f t="shared" ca="1" si="10"/>
        <v>#REF!</v>
      </c>
      <c r="AP60" s="18"/>
      <c r="AQ60" s="18"/>
      <c r="AR60" s="18"/>
      <c r="AT60" s="18" t="e">
        <f t="shared" ca="1" si="7"/>
        <v>#REF!</v>
      </c>
      <c r="AU60" s="198" t="str">
        <f t="shared" si="14"/>
        <v/>
      </c>
    </row>
    <row r="61" spans="1:47" ht="15" thickBot="1" x14ac:dyDescent="0.45">
      <c r="A61" s="203">
        <v>56</v>
      </c>
      <c r="B61" s="204" t="str">
        <f>IF(Coverage!$B61="","",Coverage!$B61)</f>
        <v/>
      </c>
      <c r="C61" s="34" t="str">
        <f t="shared" si="12"/>
        <v/>
      </c>
      <c r="D61" s="195" t="str">
        <f>Service_Numbers!AA61</f>
        <v/>
      </c>
      <c r="E61" s="195" t="str">
        <f>Service_Numbers!AB61</f>
        <v/>
      </c>
      <c r="F61" s="195" t="str">
        <f>Service_Numbers!AC61</f>
        <v/>
      </c>
      <c r="G61" s="195" t="str">
        <f>Service_Numbers!AD61</f>
        <v/>
      </c>
      <c r="H61" s="49">
        <f t="shared" si="13"/>
        <v>0</v>
      </c>
      <c r="I61" s="202">
        <f>IF('2. CHW Input'!$C$2&lt;&gt;"Policy",$H61*Service_Numbers!L61,IF('4. Policy Interactive Screen'!$D70&gt;0,$H61*Service_Numbers!L61,0))*'3. Intervention Details'!$H61</f>
        <v>0</v>
      </c>
      <c r="J61" s="202">
        <f>IF('2. CHW Input'!$C$2&lt;&gt;"Policy",$H61*Service_Numbers!M61,IF('4. Policy Interactive Screen'!$G70&gt;0,$H61*Service_Numbers!M61,0))*'3. Intervention Details'!$H61</f>
        <v>0</v>
      </c>
      <c r="K61" s="202">
        <f>IF('2. CHW Input'!$C$2&lt;&gt;"Policy",$H61*Service_Numbers!N61,IF('4. Policy Interactive Screen'!$J70&gt;0,$H61*Service_Numbers!N61,0))*'3. Intervention Details'!$H61</f>
        <v>0</v>
      </c>
      <c r="L61" s="202">
        <f>IF('2. CHW Input'!$C$2&lt;&gt;"Policy",$H61*Service_Numbers!O61,IF('4. Policy Interactive Screen'!$G70&gt;0,$H61*Service_Numbers!O61,0))*'3. Intervention Details'!$H61</f>
        <v>0</v>
      </c>
      <c r="AK61" s="18" t="str">
        <f t="shared" si="15"/>
        <v/>
      </c>
      <c r="AL61" s="18">
        <f t="shared" si="11"/>
        <v>60</v>
      </c>
      <c r="AM61" s="18" t="e">
        <f t="shared" ca="1" si="9"/>
        <v>#REF!</v>
      </c>
      <c r="AN61" s="18">
        <f t="shared" ca="1" si="6"/>
        <v>17</v>
      </c>
      <c r="AO61" s="18" t="e">
        <f t="shared" ca="1" si="10"/>
        <v>#REF!</v>
      </c>
      <c r="AP61" s="18"/>
      <c r="AQ61" s="18"/>
      <c r="AR61" s="18"/>
      <c r="AT61" s="18" t="e">
        <f t="shared" ca="1" si="7"/>
        <v>#REF!</v>
      </c>
      <c r="AU61" s="198" t="str">
        <f t="shared" si="14"/>
        <v/>
      </c>
    </row>
    <row r="62" spans="1:47" ht="15" thickBot="1" x14ac:dyDescent="0.45">
      <c r="A62" s="203">
        <v>57</v>
      </c>
      <c r="B62" s="204" t="str">
        <f>IF(Coverage!$B62="","",Coverage!$B62)</f>
        <v/>
      </c>
      <c r="C62" s="34" t="str">
        <f t="shared" si="12"/>
        <v/>
      </c>
      <c r="D62" s="195" t="str">
        <f>Service_Numbers!AA62</f>
        <v/>
      </c>
      <c r="E62" s="195" t="str">
        <f>Service_Numbers!AB62</f>
        <v/>
      </c>
      <c r="F62" s="195" t="str">
        <f>Service_Numbers!AC62</f>
        <v/>
      </c>
      <c r="G62" s="195" t="str">
        <f>Service_Numbers!AD62</f>
        <v/>
      </c>
      <c r="H62" s="49">
        <f t="shared" si="13"/>
        <v>0</v>
      </c>
      <c r="I62" s="202">
        <f>IF('2. CHW Input'!$C$2&lt;&gt;"Policy",$H62*Service_Numbers!L62,IF('4. Policy Interactive Screen'!$D71&gt;0,$H62*Service_Numbers!L62,0))*'3. Intervention Details'!$H62</f>
        <v>0</v>
      </c>
      <c r="J62" s="202">
        <f>IF('2. CHW Input'!$C$2&lt;&gt;"Policy",$H62*Service_Numbers!M62,IF('4. Policy Interactive Screen'!$G71&gt;0,$H62*Service_Numbers!M62,0))*'3. Intervention Details'!$H62</f>
        <v>0</v>
      </c>
      <c r="K62" s="202">
        <f>IF('2. CHW Input'!$C$2&lt;&gt;"Policy",$H62*Service_Numbers!N62,IF('4. Policy Interactive Screen'!$J71&gt;0,$H62*Service_Numbers!N62,0))*'3. Intervention Details'!$H62</f>
        <v>0</v>
      </c>
      <c r="L62" s="202">
        <f>IF('2. CHW Input'!$C$2&lt;&gt;"Policy",$H62*Service_Numbers!O62,IF('4. Policy Interactive Screen'!$G71&gt;0,$H62*Service_Numbers!O62,0))*'3. Intervention Details'!$H62</f>
        <v>0</v>
      </c>
      <c r="AK62" s="18" t="str">
        <f t="shared" si="15"/>
        <v/>
      </c>
      <c r="AL62" s="18">
        <f t="shared" si="11"/>
        <v>61</v>
      </c>
      <c r="AM62" s="18" t="e">
        <f t="shared" ca="1" si="9"/>
        <v>#REF!</v>
      </c>
      <c r="AN62" s="18">
        <f t="shared" ca="1" si="6"/>
        <v>17</v>
      </c>
      <c r="AO62" s="18" t="e">
        <f t="shared" ca="1" si="10"/>
        <v>#REF!</v>
      </c>
      <c r="AP62" s="18"/>
      <c r="AQ62" s="18"/>
      <c r="AR62" s="18"/>
      <c r="AT62" s="18" t="e">
        <f t="shared" ca="1" si="7"/>
        <v>#REF!</v>
      </c>
      <c r="AU62" s="198" t="str">
        <f t="shared" si="14"/>
        <v/>
      </c>
    </row>
    <row r="63" spans="1:47" ht="15" thickBot="1" x14ac:dyDescent="0.45">
      <c r="A63" s="203">
        <v>58</v>
      </c>
      <c r="B63" s="204" t="str">
        <f>IF(Coverage!$B63="","",Coverage!$B63)</f>
        <v/>
      </c>
      <c r="C63" s="34" t="str">
        <f t="shared" si="12"/>
        <v/>
      </c>
      <c r="D63" s="195" t="str">
        <f>Service_Numbers!AA63</f>
        <v/>
      </c>
      <c r="E63" s="195" t="str">
        <f>Service_Numbers!AB63</f>
        <v/>
      </c>
      <c r="F63" s="195" t="str">
        <f>Service_Numbers!AC63</f>
        <v/>
      </c>
      <c r="G63" s="195" t="str">
        <f>Service_Numbers!AD63</f>
        <v/>
      </c>
      <c r="H63" s="49">
        <f t="shared" si="13"/>
        <v>0</v>
      </c>
      <c r="I63" s="202">
        <f>IF('2. CHW Input'!$C$2&lt;&gt;"Policy",$H63*Service_Numbers!L63,IF('4. Policy Interactive Screen'!$D72&gt;0,$H63*Service_Numbers!L63,0))*'3. Intervention Details'!$H63</f>
        <v>0</v>
      </c>
      <c r="J63" s="202">
        <f>IF('2. CHW Input'!$C$2&lt;&gt;"Policy",$H63*Service_Numbers!M63,IF('4. Policy Interactive Screen'!$G72&gt;0,$H63*Service_Numbers!M63,0))*'3. Intervention Details'!$H63</f>
        <v>0</v>
      </c>
      <c r="K63" s="202">
        <f>IF('2. CHW Input'!$C$2&lt;&gt;"Policy",$H63*Service_Numbers!N63,IF('4. Policy Interactive Screen'!$J72&gt;0,$H63*Service_Numbers!N63,0))*'3. Intervention Details'!$H63</f>
        <v>0</v>
      </c>
      <c r="L63" s="202">
        <f>IF('2. CHW Input'!$C$2&lt;&gt;"Policy",$H63*Service_Numbers!O63,IF('4. Policy Interactive Screen'!$G72&gt;0,$H63*Service_Numbers!O63,0))*'3. Intervention Details'!$H63</f>
        <v>0</v>
      </c>
      <c r="AK63" s="18" t="str">
        <f t="shared" si="15"/>
        <v/>
      </c>
      <c r="AL63" s="18">
        <f t="shared" si="11"/>
        <v>62</v>
      </c>
      <c r="AM63" s="18" t="e">
        <f t="shared" ca="1" si="9"/>
        <v>#REF!</v>
      </c>
      <c r="AN63" s="18">
        <f t="shared" ca="1" si="6"/>
        <v>17</v>
      </c>
      <c r="AO63" s="18" t="e">
        <f t="shared" ca="1" si="10"/>
        <v>#REF!</v>
      </c>
      <c r="AP63" s="18"/>
      <c r="AQ63" s="18"/>
      <c r="AR63" s="18"/>
      <c r="AT63" s="18" t="e">
        <f t="shared" ca="1" si="7"/>
        <v>#REF!</v>
      </c>
      <c r="AU63" s="198" t="str">
        <f t="shared" si="14"/>
        <v/>
      </c>
    </row>
    <row r="64" spans="1:47" ht="15" thickBot="1" x14ac:dyDescent="0.45">
      <c r="A64" s="203">
        <v>59</v>
      </c>
      <c r="B64" s="204" t="str">
        <f>IF(Coverage!$B64="","",Coverage!$B64)</f>
        <v/>
      </c>
      <c r="C64" s="34" t="str">
        <f t="shared" si="12"/>
        <v/>
      </c>
      <c r="D64" s="195" t="str">
        <f>Service_Numbers!AA64</f>
        <v/>
      </c>
      <c r="E64" s="195" t="str">
        <f>Service_Numbers!AB64</f>
        <v/>
      </c>
      <c r="F64" s="195" t="str">
        <f>Service_Numbers!AC64</f>
        <v/>
      </c>
      <c r="G64" s="195" t="str">
        <f>Service_Numbers!AD64</f>
        <v/>
      </c>
      <c r="H64" s="49">
        <f t="shared" si="13"/>
        <v>0</v>
      </c>
      <c r="I64" s="202">
        <f>IF('2. CHW Input'!$C$2&lt;&gt;"Policy",$H64*Service_Numbers!L64,IF('4. Policy Interactive Screen'!$D73&gt;0,$H64*Service_Numbers!L64,0))*'3. Intervention Details'!$H64</f>
        <v>0</v>
      </c>
      <c r="J64" s="202">
        <f>IF('2. CHW Input'!$C$2&lt;&gt;"Policy",$H64*Service_Numbers!M64,IF('4. Policy Interactive Screen'!$G73&gt;0,$H64*Service_Numbers!M64,0))*'3. Intervention Details'!$H64</f>
        <v>0</v>
      </c>
      <c r="K64" s="202">
        <f>IF('2. CHW Input'!$C$2&lt;&gt;"Policy",$H64*Service_Numbers!N64,IF('4. Policy Interactive Screen'!$J73&gt;0,$H64*Service_Numbers!N64,0))*'3. Intervention Details'!$H64</f>
        <v>0</v>
      </c>
      <c r="L64" s="202">
        <f>IF('2. CHW Input'!$C$2&lt;&gt;"Policy",$H64*Service_Numbers!O64,IF('4. Policy Interactive Screen'!$G73&gt;0,$H64*Service_Numbers!O64,0))*'3. Intervention Details'!$H64</f>
        <v>0</v>
      </c>
      <c r="AK64" s="18" t="str">
        <f t="shared" si="15"/>
        <v/>
      </c>
      <c r="AL64" s="18">
        <f t="shared" si="11"/>
        <v>63</v>
      </c>
      <c r="AM64" s="18" t="e">
        <f t="shared" ca="1" si="9"/>
        <v>#REF!</v>
      </c>
      <c r="AN64" s="18">
        <f t="shared" ca="1" si="6"/>
        <v>17</v>
      </c>
      <c r="AO64" s="18" t="e">
        <f t="shared" ca="1" si="10"/>
        <v>#REF!</v>
      </c>
      <c r="AP64" s="18"/>
      <c r="AQ64" s="18"/>
      <c r="AR64" s="18"/>
      <c r="AT64" s="18" t="e">
        <f t="shared" ca="1" si="7"/>
        <v>#REF!</v>
      </c>
      <c r="AU64" s="198" t="str">
        <f t="shared" si="14"/>
        <v/>
      </c>
    </row>
    <row r="65" spans="1:47" ht="15" thickBot="1" x14ac:dyDescent="0.45">
      <c r="A65" s="203">
        <v>60</v>
      </c>
      <c r="B65" s="204" t="str">
        <f>IF(Coverage!$B65="","",Coverage!$B65)</f>
        <v/>
      </c>
      <c r="C65" s="34" t="str">
        <f t="shared" si="12"/>
        <v/>
      </c>
      <c r="D65" s="195" t="str">
        <f>Service_Numbers!AA65</f>
        <v/>
      </c>
      <c r="E65" s="195" t="str">
        <f>Service_Numbers!AB65</f>
        <v/>
      </c>
      <c r="F65" s="195" t="str">
        <f>Service_Numbers!AC65</f>
        <v/>
      </c>
      <c r="G65" s="195" t="str">
        <f>Service_Numbers!AD65</f>
        <v/>
      </c>
      <c r="H65" s="49">
        <f t="shared" si="13"/>
        <v>0</v>
      </c>
      <c r="I65" s="202">
        <f>IF('2. CHW Input'!$C$2&lt;&gt;"Policy",$H65*Service_Numbers!L65,IF('4. Policy Interactive Screen'!$D74&gt;0,$H65*Service_Numbers!L65,0))*'3. Intervention Details'!$H65</f>
        <v>0</v>
      </c>
      <c r="J65" s="202">
        <f>IF('2. CHW Input'!$C$2&lt;&gt;"Policy",$H65*Service_Numbers!M65,IF('4. Policy Interactive Screen'!$G74&gt;0,$H65*Service_Numbers!M65,0))*'3. Intervention Details'!$H65</f>
        <v>0</v>
      </c>
      <c r="K65" s="202">
        <f>IF('2. CHW Input'!$C$2&lt;&gt;"Policy",$H65*Service_Numbers!N65,IF('4. Policy Interactive Screen'!$J74&gt;0,$H65*Service_Numbers!N65,0))*'3. Intervention Details'!$H65</f>
        <v>0</v>
      </c>
      <c r="L65" s="202">
        <f>IF('2. CHW Input'!$C$2&lt;&gt;"Policy",$H65*Service_Numbers!O65,IF('4. Policy Interactive Screen'!$G74&gt;0,$H65*Service_Numbers!O65,0))*'3. Intervention Details'!$H65</f>
        <v>0</v>
      </c>
      <c r="AK65" s="18" t="str">
        <f t="shared" si="15"/>
        <v/>
      </c>
      <c r="AL65" s="18">
        <f t="shared" si="11"/>
        <v>64</v>
      </c>
      <c r="AM65" s="18" t="e">
        <f t="shared" ca="1" si="9"/>
        <v>#REF!</v>
      </c>
      <c r="AN65" s="18">
        <f t="shared" ca="1" si="6"/>
        <v>17</v>
      </c>
      <c r="AO65" s="18" t="e">
        <f t="shared" ca="1" si="10"/>
        <v>#REF!</v>
      </c>
      <c r="AP65" s="18"/>
      <c r="AQ65" s="18"/>
      <c r="AR65" s="18"/>
      <c r="AT65" s="18" t="e">
        <f t="shared" ca="1" si="7"/>
        <v>#REF!</v>
      </c>
      <c r="AU65" s="198" t="str">
        <f t="shared" si="14"/>
        <v/>
      </c>
    </row>
    <row r="66" spans="1:47" ht="15" thickBot="1" x14ac:dyDescent="0.45">
      <c r="A66" s="203">
        <v>61</v>
      </c>
      <c r="B66" s="204" t="str">
        <f>IF(Coverage!$B66="","",Coverage!$B66)</f>
        <v/>
      </c>
      <c r="C66" s="34" t="str">
        <f t="shared" si="12"/>
        <v/>
      </c>
      <c r="D66" s="195" t="str">
        <f>Service_Numbers!AA66</f>
        <v/>
      </c>
      <c r="E66" s="195" t="str">
        <f>Service_Numbers!AB66</f>
        <v/>
      </c>
      <c r="F66" s="195" t="str">
        <f>Service_Numbers!AC66</f>
        <v/>
      </c>
      <c r="G66" s="195" t="str">
        <f>Service_Numbers!AD66</f>
        <v/>
      </c>
      <c r="H66" s="49">
        <f t="shared" si="13"/>
        <v>0</v>
      </c>
      <c r="I66" s="202">
        <f>IF('2. CHW Input'!$C$2&lt;&gt;"Policy",$H66*Service_Numbers!L66,IF('4. Policy Interactive Screen'!$D75&gt;0,$H66*Service_Numbers!L66,0))*'3. Intervention Details'!$H66</f>
        <v>0</v>
      </c>
      <c r="J66" s="202">
        <f>IF('2. CHW Input'!$C$2&lt;&gt;"Policy",$H66*Service_Numbers!M66,IF('4. Policy Interactive Screen'!$G75&gt;0,$H66*Service_Numbers!M66,0))*'3. Intervention Details'!$H66</f>
        <v>0</v>
      </c>
      <c r="K66" s="202">
        <f>IF('2. CHW Input'!$C$2&lt;&gt;"Policy",$H66*Service_Numbers!N66,IF('4. Policy Interactive Screen'!$J75&gt;0,$H66*Service_Numbers!N66,0))*'3. Intervention Details'!$H66</f>
        <v>0</v>
      </c>
      <c r="L66" s="202">
        <f>IF('2. CHW Input'!$C$2&lt;&gt;"Policy",$H66*Service_Numbers!O66,IF('4. Policy Interactive Screen'!$G75&gt;0,$H66*Service_Numbers!O66,0))*'3. Intervention Details'!$H66</f>
        <v>0</v>
      </c>
      <c r="AK66" s="18" t="str">
        <f t="shared" si="15"/>
        <v/>
      </c>
      <c r="AL66" s="18">
        <f t="shared" si="11"/>
        <v>65</v>
      </c>
      <c r="AM66" s="18" t="e">
        <f t="shared" ca="1" si="9"/>
        <v>#REF!</v>
      </c>
      <c r="AN66" s="18">
        <f t="shared" ca="1" si="6"/>
        <v>17</v>
      </c>
      <c r="AO66" s="18" t="e">
        <f t="shared" ca="1" si="10"/>
        <v>#REF!</v>
      </c>
      <c r="AP66" s="18"/>
      <c r="AQ66" s="18"/>
      <c r="AR66" s="18"/>
      <c r="AT66" s="18" t="e">
        <f t="shared" ca="1" si="7"/>
        <v>#REF!</v>
      </c>
      <c r="AU66" s="198" t="str">
        <f t="shared" si="14"/>
        <v/>
      </c>
    </row>
    <row r="67" spans="1:47" ht="15" thickBot="1" x14ac:dyDescent="0.45">
      <c r="A67" s="203">
        <v>62</v>
      </c>
      <c r="B67" s="204" t="str">
        <f>IF(Coverage!$B67="","",Coverage!$B67)</f>
        <v/>
      </c>
      <c r="C67" s="34" t="str">
        <f t="shared" si="12"/>
        <v/>
      </c>
      <c r="D67" s="195" t="str">
        <f>Service_Numbers!AA67</f>
        <v/>
      </c>
      <c r="E67" s="195" t="str">
        <f>Service_Numbers!AB67</f>
        <v/>
      </c>
      <c r="F67" s="195" t="str">
        <f>Service_Numbers!AC67</f>
        <v/>
      </c>
      <c r="G67" s="195" t="str">
        <f>Service_Numbers!AD67</f>
        <v/>
      </c>
      <c r="H67" s="49">
        <f t="shared" si="13"/>
        <v>0</v>
      </c>
      <c r="I67" s="202">
        <f>IF('2. CHW Input'!$C$2&lt;&gt;"Policy",$H67*Service_Numbers!L67,IF('4. Policy Interactive Screen'!$D76&gt;0,$H67*Service_Numbers!L67,0))*'3. Intervention Details'!$H67</f>
        <v>0</v>
      </c>
      <c r="J67" s="202">
        <f>IF('2. CHW Input'!$C$2&lt;&gt;"Policy",$H67*Service_Numbers!M67,IF('4. Policy Interactive Screen'!$G76&gt;0,$H67*Service_Numbers!M67,0))*'3. Intervention Details'!$H67</f>
        <v>0</v>
      </c>
      <c r="K67" s="202">
        <f>IF('2. CHW Input'!$C$2&lt;&gt;"Policy",$H67*Service_Numbers!N67,IF('4. Policy Interactive Screen'!$J76&gt;0,$H67*Service_Numbers!N67,0))*'3. Intervention Details'!$H67</f>
        <v>0</v>
      </c>
      <c r="L67" s="202">
        <f>IF('2. CHW Input'!$C$2&lt;&gt;"Policy",$H67*Service_Numbers!O67,IF('4. Policy Interactive Screen'!$G76&gt;0,$H67*Service_Numbers!O67,0))*'3. Intervention Details'!$H67</f>
        <v>0</v>
      </c>
      <c r="AK67" s="18" t="str">
        <f t="shared" si="15"/>
        <v/>
      </c>
      <c r="AL67" s="18">
        <f t="shared" si="11"/>
        <v>66</v>
      </c>
      <c r="AM67" s="18" t="e">
        <f t="shared" ca="1" si="9"/>
        <v>#REF!</v>
      </c>
      <c r="AN67" s="18">
        <f t="shared" ca="1" si="6"/>
        <v>17</v>
      </c>
      <c r="AO67" s="18" t="e">
        <f t="shared" ca="1" si="10"/>
        <v>#REF!</v>
      </c>
      <c r="AP67" s="18"/>
      <c r="AQ67" s="18"/>
      <c r="AR67" s="18"/>
      <c r="AT67" s="18" t="e">
        <f t="shared" ca="1" si="7"/>
        <v>#REF!</v>
      </c>
      <c r="AU67" s="198" t="str">
        <f t="shared" si="14"/>
        <v/>
      </c>
    </row>
    <row r="68" spans="1:47" ht="15" thickBot="1" x14ac:dyDescent="0.45">
      <c r="A68" s="203">
        <v>63</v>
      </c>
      <c r="B68" s="204" t="str">
        <f>IF(Coverage!$B68="","",Coverage!$B68)</f>
        <v/>
      </c>
      <c r="C68" s="34" t="str">
        <f t="shared" si="12"/>
        <v/>
      </c>
      <c r="D68" s="195" t="str">
        <f>Service_Numbers!AA68</f>
        <v/>
      </c>
      <c r="E68" s="195" t="str">
        <f>Service_Numbers!AB68</f>
        <v/>
      </c>
      <c r="F68" s="195" t="str">
        <f>Service_Numbers!AC68</f>
        <v/>
      </c>
      <c r="G68" s="195" t="str">
        <f>Service_Numbers!AD68</f>
        <v/>
      </c>
      <c r="H68" s="49">
        <f t="shared" si="13"/>
        <v>0</v>
      </c>
      <c r="I68" s="202">
        <f>IF('2. CHW Input'!$C$2&lt;&gt;"Policy",$H68*Service_Numbers!L68,IF('4. Policy Interactive Screen'!$D77&gt;0,$H68*Service_Numbers!L68,0))*'3. Intervention Details'!$H68</f>
        <v>0</v>
      </c>
      <c r="J68" s="202">
        <f>IF('2. CHW Input'!$C$2&lt;&gt;"Policy",$H68*Service_Numbers!M68,IF('4. Policy Interactive Screen'!$G77&gt;0,$H68*Service_Numbers!M68,0))*'3. Intervention Details'!$H68</f>
        <v>0</v>
      </c>
      <c r="K68" s="202">
        <f>IF('2. CHW Input'!$C$2&lt;&gt;"Policy",$H68*Service_Numbers!N68,IF('4. Policy Interactive Screen'!$J77&gt;0,$H68*Service_Numbers!N68,0))*'3. Intervention Details'!$H68</f>
        <v>0</v>
      </c>
      <c r="L68" s="202">
        <f>IF('2. CHW Input'!$C$2&lt;&gt;"Policy",$H68*Service_Numbers!O68,IF('4. Policy Interactive Screen'!$G77&gt;0,$H68*Service_Numbers!O68,0))*'3. Intervention Details'!$H68</f>
        <v>0</v>
      </c>
      <c r="AK68" s="18" t="str">
        <f t="shared" si="15"/>
        <v/>
      </c>
      <c r="AL68" s="18">
        <f t="shared" si="11"/>
        <v>67</v>
      </c>
      <c r="AM68" s="18" t="e">
        <f t="shared" ca="1" si="9"/>
        <v>#REF!</v>
      </c>
      <c r="AN68" s="18">
        <f t="shared" ca="1" si="6"/>
        <v>17</v>
      </c>
      <c r="AO68" s="18" t="e">
        <f t="shared" ca="1" si="10"/>
        <v>#REF!</v>
      </c>
      <c r="AP68" s="18"/>
      <c r="AQ68" s="18"/>
      <c r="AR68" s="18"/>
      <c r="AT68" s="18" t="e">
        <f t="shared" ca="1" si="7"/>
        <v>#REF!</v>
      </c>
      <c r="AU68" s="198" t="str">
        <f t="shared" si="14"/>
        <v/>
      </c>
    </row>
    <row r="69" spans="1:47" ht="15" thickBot="1" x14ac:dyDescent="0.45">
      <c r="A69" s="203">
        <v>64</v>
      </c>
      <c r="B69" s="204" t="str">
        <f>IF(Coverage!$B69="","",Coverage!$B69)</f>
        <v/>
      </c>
      <c r="C69" s="34" t="str">
        <f t="shared" si="12"/>
        <v/>
      </c>
      <c r="D69" s="195" t="str">
        <f>Service_Numbers!AA69</f>
        <v/>
      </c>
      <c r="E69" s="195" t="str">
        <f>Service_Numbers!AB69</f>
        <v/>
      </c>
      <c r="F69" s="195" t="str">
        <f>Service_Numbers!AC69</f>
        <v/>
      </c>
      <c r="G69" s="195" t="str">
        <f>Service_Numbers!AD69</f>
        <v/>
      </c>
      <c r="H69" s="49">
        <f t="shared" si="13"/>
        <v>0</v>
      </c>
      <c r="I69" s="202">
        <f>IF('2. CHW Input'!$C$2&lt;&gt;"Policy",$H69*Service_Numbers!L69,IF('4. Policy Interactive Screen'!$D78&gt;0,$H69*Service_Numbers!L69,0))*'3. Intervention Details'!$H69</f>
        <v>0</v>
      </c>
      <c r="J69" s="202">
        <f>IF('2. CHW Input'!$C$2&lt;&gt;"Policy",$H69*Service_Numbers!M69,IF('4. Policy Interactive Screen'!$G78&gt;0,$H69*Service_Numbers!M69,0))*'3. Intervention Details'!$H69</f>
        <v>0</v>
      </c>
      <c r="K69" s="202">
        <f>IF('2. CHW Input'!$C$2&lt;&gt;"Policy",$H69*Service_Numbers!N69,IF('4. Policy Interactive Screen'!$J78&gt;0,$H69*Service_Numbers!N69,0))*'3. Intervention Details'!$H69</f>
        <v>0</v>
      </c>
      <c r="L69" s="202">
        <f>IF('2. CHW Input'!$C$2&lt;&gt;"Policy",$H69*Service_Numbers!O69,IF('4. Policy Interactive Screen'!$G78&gt;0,$H69*Service_Numbers!O69,0))*'3. Intervention Details'!$H69</f>
        <v>0</v>
      </c>
      <c r="AK69" s="18" t="str">
        <f t="shared" si="15"/>
        <v/>
      </c>
      <c r="AL69" s="18">
        <f t="shared" si="11"/>
        <v>68</v>
      </c>
      <c r="AM69" s="18" t="e">
        <f t="shared" ca="1" si="9"/>
        <v>#REF!</v>
      </c>
      <c r="AN69" s="18">
        <f t="shared" ca="1" si="6"/>
        <v>17</v>
      </c>
      <c r="AO69" s="18" t="e">
        <f t="shared" ca="1" si="10"/>
        <v>#REF!</v>
      </c>
      <c r="AP69" s="18"/>
      <c r="AQ69" s="18"/>
      <c r="AR69" s="18"/>
      <c r="AT69" s="18" t="e">
        <f t="shared" ca="1" si="7"/>
        <v>#REF!</v>
      </c>
      <c r="AU69" s="198" t="str">
        <f t="shared" si="14"/>
        <v/>
      </c>
    </row>
    <row r="70" spans="1:47" ht="15" thickBot="1" x14ac:dyDescent="0.45">
      <c r="A70" s="203">
        <v>65</v>
      </c>
      <c r="B70" s="204" t="str">
        <f>IF(Coverage!$B70="","",Coverage!$B70)</f>
        <v/>
      </c>
      <c r="C70" s="34" t="str">
        <f t="shared" ref="C70:C101" si="16">IFERROR((VLOOKUP(B70,lookup_masterlist,C$1,FALSE)),"")</f>
        <v/>
      </c>
      <c r="D70" s="195" t="str">
        <f>Service_Numbers!AA70</f>
        <v/>
      </c>
      <c r="E70" s="195" t="str">
        <f>Service_Numbers!AB70</f>
        <v/>
      </c>
      <c r="F70" s="195" t="str">
        <f>Service_Numbers!AC70</f>
        <v/>
      </c>
      <c r="G70" s="195" t="str">
        <f>Service_Numbers!AD70</f>
        <v/>
      </c>
      <c r="H70" s="49">
        <f t="shared" ref="H70:H105" si="17">IF(B70="",0,VLOOKUP(B70,lookup_time_cost,3,FALSE))</f>
        <v>0</v>
      </c>
      <c r="I70" s="202">
        <f>IF('2. CHW Input'!$C$2&lt;&gt;"Policy",$H70*Service_Numbers!L70,IF('4. Policy Interactive Screen'!$D79&gt;0,$H70*Service_Numbers!L70,0))*'3. Intervention Details'!$H70</f>
        <v>0</v>
      </c>
      <c r="J70" s="202">
        <f>IF('2. CHW Input'!$C$2&lt;&gt;"Policy",$H70*Service_Numbers!M70,IF('4. Policy Interactive Screen'!$G79&gt;0,$H70*Service_Numbers!M70,0))*'3. Intervention Details'!$H70</f>
        <v>0</v>
      </c>
      <c r="K70" s="202">
        <f>IF('2. CHW Input'!$C$2&lt;&gt;"Policy",$H70*Service_Numbers!N70,IF('4. Policy Interactive Screen'!$J79&gt;0,$H70*Service_Numbers!N70,0))*'3. Intervention Details'!$H70</f>
        <v>0</v>
      </c>
      <c r="L70" s="202">
        <f>IF('2. CHW Input'!$C$2&lt;&gt;"Policy",$H70*Service_Numbers!O70,IF('4. Policy Interactive Screen'!$G79&gt;0,$H70*Service_Numbers!O70,0))*'3. Intervention Details'!$H70</f>
        <v>0</v>
      </c>
      <c r="AK70" s="18" t="str">
        <f t="shared" si="15"/>
        <v/>
      </c>
      <c r="AL70" s="18">
        <f t="shared" si="11"/>
        <v>69</v>
      </c>
      <c r="AM70" s="18" t="e">
        <f t="shared" ca="1" si="9"/>
        <v>#REF!</v>
      </c>
      <c r="AN70" s="18">
        <f t="shared" ca="1" si="6"/>
        <v>17</v>
      </c>
      <c r="AO70" s="18" t="e">
        <f t="shared" ca="1" si="10"/>
        <v>#REF!</v>
      </c>
      <c r="AP70" s="18"/>
      <c r="AQ70" s="18"/>
      <c r="AR70" s="18"/>
      <c r="AT70" s="18" t="e">
        <f t="shared" ca="1" si="7"/>
        <v>#REF!</v>
      </c>
      <c r="AU70" s="198" t="str">
        <f t="shared" ref="AU70:AU105" si="18">B70</f>
        <v/>
      </c>
    </row>
    <row r="71" spans="1:47" ht="15" thickBot="1" x14ac:dyDescent="0.45">
      <c r="A71" s="203">
        <v>66</v>
      </c>
      <c r="B71" s="204" t="str">
        <f>IF(Coverage!$B71="","",Coverage!$B71)</f>
        <v/>
      </c>
      <c r="C71" s="34" t="str">
        <f t="shared" si="16"/>
        <v/>
      </c>
      <c r="D71" s="195" t="str">
        <f>Service_Numbers!AA71</f>
        <v/>
      </c>
      <c r="E71" s="195" t="str">
        <f>Service_Numbers!AB71</f>
        <v/>
      </c>
      <c r="F71" s="195" t="str">
        <f>Service_Numbers!AC71</f>
        <v/>
      </c>
      <c r="G71" s="195" t="str">
        <f>Service_Numbers!AD71</f>
        <v/>
      </c>
      <c r="H71" s="49">
        <f t="shared" si="17"/>
        <v>0</v>
      </c>
      <c r="I71" s="202">
        <f>IF('2. CHW Input'!$C$2&lt;&gt;"Policy",$H71*Service_Numbers!L71,IF('4. Policy Interactive Screen'!$D80&gt;0,$H71*Service_Numbers!L71,0))*'3. Intervention Details'!$H71</f>
        <v>0</v>
      </c>
      <c r="J71" s="202">
        <f>IF('2. CHW Input'!$C$2&lt;&gt;"Policy",$H71*Service_Numbers!M71,IF('4. Policy Interactive Screen'!$G80&gt;0,$H71*Service_Numbers!M71,0))*'3. Intervention Details'!$H71</f>
        <v>0</v>
      </c>
      <c r="K71" s="202">
        <f>IF('2. CHW Input'!$C$2&lt;&gt;"Policy",$H71*Service_Numbers!N71,IF('4. Policy Interactive Screen'!$J80&gt;0,$H71*Service_Numbers!N71,0))*'3. Intervention Details'!$H71</f>
        <v>0</v>
      </c>
      <c r="L71" s="202">
        <f>IF('2. CHW Input'!$C$2&lt;&gt;"Policy",$H71*Service_Numbers!O71,IF('4. Policy Interactive Screen'!$G80&gt;0,$H71*Service_Numbers!O71,0))*'3. Intervention Details'!$H71</f>
        <v>0</v>
      </c>
      <c r="AK71" s="18" t="str">
        <f t="shared" ref="AK71:AK102" si="19">B70</f>
        <v/>
      </c>
      <c r="AL71" s="18">
        <f t="shared" si="11"/>
        <v>70</v>
      </c>
      <c r="AM71" s="18" t="e">
        <f t="shared" ca="1" si="9"/>
        <v>#REF!</v>
      </c>
      <c r="AN71" s="18">
        <f t="shared" ref="AN71:AN106" ca="1" si="20">COUNTIF(AM$7:AM$23,AM71)</f>
        <v>17</v>
      </c>
      <c r="AO71" s="18" t="e">
        <f t="shared" ca="1" si="10"/>
        <v>#REF!</v>
      </c>
      <c r="AP71" s="18"/>
      <c r="AQ71" s="18"/>
      <c r="AR71" s="18"/>
      <c r="AT71" s="18" t="e">
        <f t="shared" ref="AT71:AT105" ca="1" si="21">IF(AO72&gt;0,RANK(AO72,AO$7:AO$106,0),"")</f>
        <v>#REF!</v>
      </c>
      <c r="AU71" s="198" t="str">
        <f t="shared" si="18"/>
        <v/>
      </c>
    </row>
    <row r="72" spans="1:47" ht="15" thickBot="1" x14ac:dyDescent="0.45">
      <c r="A72" s="203">
        <v>67</v>
      </c>
      <c r="B72" s="204" t="str">
        <f>IF(Coverage!$B72="","",Coverage!$B72)</f>
        <v/>
      </c>
      <c r="C72" s="34" t="str">
        <f t="shared" si="16"/>
        <v/>
      </c>
      <c r="D72" s="195" t="str">
        <f>Service_Numbers!AA72</f>
        <v/>
      </c>
      <c r="E72" s="195" t="str">
        <f>Service_Numbers!AB72</f>
        <v/>
      </c>
      <c r="F72" s="195" t="str">
        <f>Service_Numbers!AC72</f>
        <v/>
      </c>
      <c r="G72" s="195" t="str">
        <f>Service_Numbers!AD72</f>
        <v/>
      </c>
      <c r="H72" s="49">
        <f t="shared" si="17"/>
        <v>0</v>
      </c>
      <c r="I72" s="202">
        <f>IF('2. CHW Input'!$C$2&lt;&gt;"Policy",$H72*Service_Numbers!L72,IF('4. Policy Interactive Screen'!$D81&gt;0,$H72*Service_Numbers!L72,0))*'3. Intervention Details'!$H72</f>
        <v>0</v>
      </c>
      <c r="J72" s="202">
        <f>IF('2. CHW Input'!$C$2&lt;&gt;"Policy",$H72*Service_Numbers!M72,IF('4. Policy Interactive Screen'!$G81&gt;0,$H72*Service_Numbers!M72,0))*'3. Intervention Details'!$H72</f>
        <v>0</v>
      </c>
      <c r="K72" s="202">
        <f>IF('2. CHW Input'!$C$2&lt;&gt;"Policy",$H72*Service_Numbers!N72,IF('4. Policy Interactive Screen'!$J81&gt;0,$H72*Service_Numbers!N72,0))*'3. Intervention Details'!$H72</f>
        <v>0</v>
      </c>
      <c r="L72" s="202">
        <f>IF('2. CHW Input'!$C$2&lt;&gt;"Policy",$H72*Service_Numbers!O72,IF('4. Policy Interactive Screen'!$G81&gt;0,$H72*Service_Numbers!O72,0))*'3. Intervention Details'!$H72</f>
        <v>0</v>
      </c>
      <c r="AK72" s="18" t="str">
        <f t="shared" si="19"/>
        <v/>
      </c>
      <c r="AL72" s="18">
        <f t="shared" si="11"/>
        <v>71</v>
      </c>
      <c r="AM72" s="18" t="e">
        <f t="shared" ref="AM72:AM106" ca="1" si="22">IF(AM$6=INDIRECT("$"&amp;AM$5&amp;AL72),INDIRECT(AM$4&amp;AL72),0)</f>
        <v>#REF!</v>
      </c>
      <c r="AN72" s="18">
        <f t="shared" ca="1" si="20"/>
        <v>17</v>
      </c>
      <c r="AO72" s="18" t="e">
        <f t="shared" ref="AO72:AO106" ca="1" si="23">IF(AN72=1,AM72,IF(AM72&gt;0,AM72+0.00001*RAND(),0))</f>
        <v>#REF!</v>
      </c>
      <c r="AP72" s="18"/>
      <c r="AQ72" s="18"/>
      <c r="AR72" s="18"/>
      <c r="AT72" s="18" t="e">
        <f t="shared" ca="1" si="21"/>
        <v>#REF!</v>
      </c>
      <c r="AU72" s="198" t="str">
        <f t="shared" si="18"/>
        <v/>
      </c>
    </row>
    <row r="73" spans="1:47" ht="15" thickBot="1" x14ac:dyDescent="0.45">
      <c r="A73" s="203">
        <v>68</v>
      </c>
      <c r="B73" s="204" t="str">
        <f>IF(Coverage!$B73="","",Coverage!$B73)</f>
        <v/>
      </c>
      <c r="C73" s="34" t="str">
        <f t="shared" si="16"/>
        <v/>
      </c>
      <c r="D73" s="195" t="str">
        <f>Service_Numbers!AA73</f>
        <v/>
      </c>
      <c r="E73" s="195" t="str">
        <f>Service_Numbers!AB73</f>
        <v/>
      </c>
      <c r="F73" s="195" t="str">
        <f>Service_Numbers!AC73</f>
        <v/>
      </c>
      <c r="G73" s="195" t="str">
        <f>Service_Numbers!AD73</f>
        <v/>
      </c>
      <c r="H73" s="49">
        <f t="shared" si="17"/>
        <v>0</v>
      </c>
      <c r="I73" s="202">
        <f>IF('2. CHW Input'!$C$2&lt;&gt;"Policy",$H73*Service_Numbers!L73,IF('4. Policy Interactive Screen'!$D82&gt;0,$H73*Service_Numbers!L73,0))*'3. Intervention Details'!$H73</f>
        <v>0</v>
      </c>
      <c r="J73" s="202">
        <f>IF('2. CHW Input'!$C$2&lt;&gt;"Policy",$H73*Service_Numbers!M73,IF('4. Policy Interactive Screen'!$G82&gt;0,$H73*Service_Numbers!M73,0))*'3. Intervention Details'!$H73</f>
        <v>0</v>
      </c>
      <c r="K73" s="202">
        <f>IF('2. CHW Input'!$C$2&lt;&gt;"Policy",$H73*Service_Numbers!N73,IF('4. Policy Interactive Screen'!$J82&gt;0,$H73*Service_Numbers!N73,0))*'3. Intervention Details'!$H73</f>
        <v>0</v>
      </c>
      <c r="L73" s="202">
        <f>IF('2. CHW Input'!$C$2&lt;&gt;"Policy",$H73*Service_Numbers!O73,IF('4. Policy Interactive Screen'!$G82&gt;0,$H73*Service_Numbers!O73,0))*'3. Intervention Details'!$H73</f>
        <v>0</v>
      </c>
      <c r="AK73" s="18" t="str">
        <f t="shared" si="19"/>
        <v/>
      </c>
      <c r="AL73" s="18">
        <f t="shared" ref="AL73:AL106" si="24">AL72+1</f>
        <v>72</v>
      </c>
      <c r="AM73" s="18" t="e">
        <f t="shared" ca="1" si="22"/>
        <v>#REF!</v>
      </c>
      <c r="AN73" s="18">
        <f t="shared" ca="1" si="20"/>
        <v>17</v>
      </c>
      <c r="AO73" s="18" t="e">
        <f t="shared" ca="1" si="23"/>
        <v>#REF!</v>
      </c>
      <c r="AP73" s="18"/>
      <c r="AQ73" s="18"/>
      <c r="AR73" s="18"/>
      <c r="AT73" s="18" t="e">
        <f t="shared" ca="1" si="21"/>
        <v>#REF!</v>
      </c>
      <c r="AU73" s="198" t="str">
        <f t="shared" si="18"/>
        <v/>
      </c>
    </row>
    <row r="74" spans="1:47" ht="15" thickBot="1" x14ac:dyDescent="0.45">
      <c r="A74" s="203">
        <v>69</v>
      </c>
      <c r="B74" s="204" t="str">
        <f>IF(Coverage!$B74="","",Coverage!$B74)</f>
        <v/>
      </c>
      <c r="C74" s="34" t="str">
        <f t="shared" si="16"/>
        <v/>
      </c>
      <c r="D74" s="195" t="str">
        <f>Service_Numbers!AA74</f>
        <v/>
      </c>
      <c r="E74" s="195" t="str">
        <f>Service_Numbers!AB74</f>
        <v/>
      </c>
      <c r="F74" s="195" t="str">
        <f>Service_Numbers!AC74</f>
        <v/>
      </c>
      <c r="G74" s="195" t="str">
        <f>Service_Numbers!AD74</f>
        <v/>
      </c>
      <c r="H74" s="49">
        <f t="shared" si="17"/>
        <v>0</v>
      </c>
      <c r="I74" s="202">
        <f>IF('2. CHW Input'!$C$2&lt;&gt;"Policy",$H74*Service_Numbers!L74,IF('4. Policy Interactive Screen'!$D83&gt;0,$H74*Service_Numbers!L74,0))*'3. Intervention Details'!$H74</f>
        <v>0</v>
      </c>
      <c r="J74" s="202">
        <f>IF('2. CHW Input'!$C$2&lt;&gt;"Policy",$H74*Service_Numbers!M74,IF('4. Policy Interactive Screen'!$G83&gt;0,$H74*Service_Numbers!M74,0))*'3. Intervention Details'!$H74</f>
        <v>0</v>
      </c>
      <c r="K74" s="202">
        <f>IF('2. CHW Input'!$C$2&lt;&gt;"Policy",$H74*Service_Numbers!N74,IF('4. Policy Interactive Screen'!$J83&gt;0,$H74*Service_Numbers!N74,0))*'3. Intervention Details'!$H74</f>
        <v>0</v>
      </c>
      <c r="L74" s="202">
        <f>IF('2. CHW Input'!$C$2&lt;&gt;"Policy",$H74*Service_Numbers!O74,IF('4. Policy Interactive Screen'!$G83&gt;0,$H74*Service_Numbers!O74,0))*'3. Intervention Details'!$H74</f>
        <v>0</v>
      </c>
      <c r="AK74" s="18" t="str">
        <f t="shared" si="19"/>
        <v/>
      </c>
      <c r="AL74" s="18">
        <f t="shared" si="24"/>
        <v>73</v>
      </c>
      <c r="AM74" s="18" t="e">
        <f t="shared" ca="1" si="22"/>
        <v>#REF!</v>
      </c>
      <c r="AN74" s="18">
        <f t="shared" ca="1" si="20"/>
        <v>17</v>
      </c>
      <c r="AO74" s="18" t="e">
        <f t="shared" ca="1" si="23"/>
        <v>#REF!</v>
      </c>
      <c r="AP74" s="18"/>
      <c r="AQ74" s="18"/>
      <c r="AR74" s="18"/>
      <c r="AT74" s="18" t="e">
        <f t="shared" ca="1" si="21"/>
        <v>#REF!</v>
      </c>
      <c r="AU74" s="198" t="str">
        <f t="shared" si="18"/>
        <v/>
      </c>
    </row>
    <row r="75" spans="1:47" ht="15" thickBot="1" x14ac:dyDescent="0.45">
      <c r="A75" s="203">
        <v>70</v>
      </c>
      <c r="B75" s="204" t="str">
        <f>IF(Coverage!$B75="","",Coverage!$B75)</f>
        <v/>
      </c>
      <c r="C75" s="34" t="str">
        <f t="shared" si="16"/>
        <v/>
      </c>
      <c r="D75" s="195" t="str">
        <f>Service_Numbers!AA75</f>
        <v/>
      </c>
      <c r="E75" s="195" t="str">
        <f>Service_Numbers!AB75</f>
        <v/>
      </c>
      <c r="F75" s="195" t="str">
        <f>Service_Numbers!AC75</f>
        <v/>
      </c>
      <c r="G75" s="195" t="str">
        <f>Service_Numbers!AD75</f>
        <v/>
      </c>
      <c r="H75" s="49">
        <f t="shared" si="17"/>
        <v>0</v>
      </c>
      <c r="I75" s="202">
        <f>IF('2. CHW Input'!$C$2&lt;&gt;"Policy",$H75*Service_Numbers!L75,IF('4. Policy Interactive Screen'!$D84&gt;0,$H75*Service_Numbers!L75,0))*'3. Intervention Details'!$H75</f>
        <v>0</v>
      </c>
      <c r="J75" s="202">
        <f>IF('2. CHW Input'!$C$2&lt;&gt;"Policy",$H75*Service_Numbers!M75,IF('4. Policy Interactive Screen'!$G84&gt;0,$H75*Service_Numbers!M75,0))*'3. Intervention Details'!$H75</f>
        <v>0</v>
      </c>
      <c r="K75" s="202">
        <f>IF('2. CHW Input'!$C$2&lt;&gt;"Policy",$H75*Service_Numbers!N75,IF('4. Policy Interactive Screen'!$J84&gt;0,$H75*Service_Numbers!N75,0))*'3. Intervention Details'!$H75</f>
        <v>0</v>
      </c>
      <c r="L75" s="202">
        <f>IF('2. CHW Input'!$C$2&lt;&gt;"Policy",$H75*Service_Numbers!O75,IF('4. Policy Interactive Screen'!$G84&gt;0,$H75*Service_Numbers!O75,0))*'3. Intervention Details'!$H75</f>
        <v>0</v>
      </c>
      <c r="AK75" s="18" t="str">
        <f t="shared" si="19"/>
        <v/>
      </c>
      <c r="AL75" s="18">
        <f t="shared" si="24"/>
        <v>74</v>
      </c>
      <c r="AM75" s="18" t="e">
        <f t="shared" ca="1" si="22"/>
        <v>#REF!</v>
      </c>
      <c r="AN75" s="18">
        <f t="shared" ca="1" si="20"/>
        <v>17</v>
      </c>
      <c r="AO75" s="18" t="e">
        <f t="shared" ca="1" si="23"/>
        <v>#REF!</v>
      </c>
      <c r="AP75" s="18"/>
      <c r="AQ75" s="18"/>
      <c r="AR75" s="18"/>
      <c r="AT75" s="18" t="e">
        <f t="shared" ca="1" si="21"/>
        <v>#REF!</v>
      </c>
      <c r="AU75" s="198" t="str">
        <f t="shared" si="18"/>
        <v/>
      </c>
    </row>
    <row r="76" spans="1:47" ht="15" thickBot="1" x14ac:dyDescent="0.45">
      <c r="A76" s="203">
        <v>71</v>
      </c>
      <c r="B76" s="204" t="str">
        <f>IF(Coverage!$B76="","",Coverage!$B76)</f>
        <v/>
      </c>
      <c r="C76" s="34" t="str">
        <f t="shared" si="16"/>
        <v/>
      </c>
      <c r="D76" s="195" t="str">
        <f>Service_Numbers!AA76</f>
        <v/>
      </c>
      <c r="E76" s="195" t="str">
        <f>Service_Numbers!AB76</f>
        <v/>
      </c>
      <c r="F76" s="195" t="str">
        <f>Service_Numbers!AC76</f>
        <v/>
      </c>
      <c r="G76" s="195" t="str">
        <f>Service_Numbers!AD76</f>
        <v/>
      </c>
      <c r="H76" s="49">
        <f t="shared" si="17"/>
        <v>0</v>
      </c>
      <c r="I76" s="202">
        <f>IF('2. CHW Input'!$C$2&lt;&gt;"Policy",$H76*Service_Numbers!L76,IF('4. Policy Interactive Screen'!$D85&gt;0,$H76*Service_Numbers!L76,0))*'3. Intervention Details'!$H76</f>
        <v>0</v>
      </c>
      <c r="J76" s="202">
        <f>IF('2. CHW Input'!$C$2&lt;&gt;"Policy",$H76*Service_Numbers!M76,IF('4. Policy Interactive Screen'!$G85&gt;0,$H76*Service_Numbers!M76,0))*'3. Intervention Details'!$H76</f>
        <v>0</v>
      </c>
      <c r="K76" s="202">
        <f>IF('2. CHW Input'!$C$2&lt;&gt;"Policy",$H76*Service_Numbers!N76,IF('4. Policy Interactive Screen'!$J85&gt;0,$H76*Service_Numbers!N76,0))*'3. Intervention Details'!$H76</f>
        <v>0</v>
      </c>
      <c r="L76" s="202">
        <f>IF('2. CHW Input'!$C$2&lt;&gt;"Policy",$H76*Service_Numbers!O76,IF('4. Policy Interactive Screen'!$G85&gt;0,$H76*Service_Numbers!O76,0))*'3. Intervention Details'!$H76</f>
        <v>0</v>
      </c>
      <c r="AK76" s="18" t="str">
        <f t="shared" si="19"/>
        <v/>
      </c>
      <c r="AL76" s="18">
        <f t="shared" si="24"/>
        <v>75</v>
      </c>
      <c r="AM76" s="18" t="e">
        <f t="shared" ca="1" si="22"/>
        <v>#REF!</v>
      </c>
      <c r="AN76" s="18">
        <f t="shared" ca="1" si="20"/>
        <v>17</v>
      </c>
      <c r="AO76" s="18" t="e">
        <f t="shared" ca="1" si="23"/>
        <v>#REF!</v>
      </c>
      <c r="AP76" s="18"/>
      <c r="AQ76" s="18"/>
      <c r="AR76" s="18"/>
      <c r="AT76" s="18" t="e">
        <f t="shared" ca="1" si="21"/>
        <v>#REF!</v>
      </c>
      <c r="AU76" s="198" t="str">
        <f t="shared" si="18"/>
        <v/>
      </c>
    </row>
    <row r="77" spans="1:47" ht="15" thickBot="1" x14ac:dyDescent="0.45">
      <c r="A77" s="203">
        <v>72</v>
      </c>
      <c r="B77" s="204" t="str">
        <f>IF(Coverage!$B77="","",Coverage!$B77)</f>
        <v/>
      </c>
      <c r="C77" s="34" t="str">
        <f t="shared" si="16"/>
        <v/>
      </c>
      <c r="D77" s="195" t="str">
        <f>Service_Numbers!AA77</f>
        <v/>
      </c>
      <c r="E77" s="195" t="str">
        <f>Service_Numbers!AB77</f>
        <v/>
      </c>
      <c r="F77" s="195" t="str">
        <f>Service_Numbers!AC77</f>
        <v/>
      </c>
      <c r="G77" s="195" t="str">
        <f>Service_Numbers!AD77</f>
        <v/>
      </c>
      <c r="H77" s="49">
        <f t="shared" si="17"/>
        <v>0</v>
      </c>
      <c r="I77" s="202">
        <f>IF('2. CHW Input'!$C$2&lt;&gt;"Policy",$H77*Service_Numbers!L77,IF('4. Policy Interactive Screen'!$D86&gt;0,$H77*Service_Numbers!L77,0))*'3. Intervention Details'!$H77</f>
        <v>0</v>
      </c>
      <c r="J77" s="202">
        <f>IF('2. CHW Input'!$C$2&lt;&gt;"Policy",$H77*Service_Numbers!M77,IF('4. Policy Interactive Screen'!$G86&gt;0,$H77*Service_Numbers!M77,0))*'3. Intervention Details'!$H77</f>
        <v>0</v>
      </c>
      <c r="K77" s="202">
        <f>IF('2. CHW Input'!$C$2&lt;&gt;"Policy",$H77*Service_Numbers!N77,IF('4. Policy Interactive Screen'!$J86&gt;0,$H77*Service_Numbers!N77,0))*'3. Intervention Details'!$H77</f>
        <v>0</v>
      </c>
      <c r="L77" s="202">
        <f>IF('2. CHW Input'!$C$2&lt;&gt;"Policy",$H77*Service_Numbers!O77,IF('4. Policy Interactive Screen'!$G86&gt;0,$H77*Service_Numbers!O77,0))*'3. Intervention Details'!$H77</f>
        <v>0</v>
      </c>
      <c r="AK77" s="18" t="str">
        <f t="shared" si="19"/>
        <v/>
      </c>
      <c r="AL77" s="18">
        <f t="shared" si="24"/>
        <v>76</v>
      </c>
      <c r="AM77" s="18" t="e">
        <f t="shared" ca="1" si="22"/>
        <v>#REF!</v>
      </c>
      <c r="AN77" s="18">
        <f t="shared" ca="1" si="20"/>
        <v>17</v>
      </c>
      <c r="AO77" s="18" t="e">
        <f t="shared" ca="1" si="23"/>
        <v>#REF!</v>
      </c>
      <c r="AP77" s="18"/>
      <c r="AQ77" s="18"/>
      <c r="AR77" s="18"/>
      <c r="AT77" s="18" t="e">
        <f t="shared" ca="1" si="21"/>
        <v>#REF!</v>
      </c>
      <c r="AU77" s="198" t="str">
        <f t="shared" si="18"/>
        <v/>
      </c>
    </row>
    <row r="78" spans="1:47" ht="15" thickBot="1" x14ac:dyDescent="0.45">
      <c r="A78" s="203">
        <v>73</v>
      </c>
      <c r="B78" s="204" t="str">
        <f>IF(Coverage!$B78="","",Coverage!$B78)</f>
        <v/>
      </c>
      <c r="C78" s="34" t="str">
        <f t="shared" si="16"/>
        <v/>
      </c>
      <c r="D78" s="195" t="str">
        <f>Service_Numbers!AA78</f>
        <v/>
      </c>
      <c r="E78" s="195" t="str">
        <f>Service_Numbers!AB78</f>
        <v/>
      </c>
      <c r="F78" s="195" t="str">
        <f>Service_Numbers!AC78</f>
        <v/>
      </c>
      <c r="G78" s="195" t="str">
        <f>Service_Numbers!AD78</f>
        <v/>
      </c>
      <c r="H78" s="49">
        <f t="shared" si="17"/>
        <v>0</v>
      </c>
      <c r="I78" s="202">
        <f>IF('2. CHW Input'!$C$2&lt;&gt;"Policy",$H78*Service_Numbers!L78,IF('4. Policy Interactive Screen'!$D87&gt;0,$H78*Service_Numbers!L78,0))*'3. Intervention Details'!$H78</f>
        <v>0</v>
      </c>
      <c r="J78" s="202">
        <f>IF('2. CHW Input'!$C$2&lt;&gt;"Policy",$H78*Service_Numbers!M78,IF('4. Policy Interactive Screen'!$G87&gt;0,$H78*Service_Numbers!M78,0))*'3. Intervention Details'!$H78</f>
        <v>0</v>
      </c>
      <c r="K78" s="202">
        <f>IF('2. CHW Input'!$C$2&lt;&gt;"Policy",$H78*Service_Numbers!N78,IF('4. Policy Interactive Screen'!$J87&gt;0,$H78*Service_Numbers!N78,0))*'3. Intervention Details'!$H78</f>
        <v>0</v>
      </c>
      <c r="L78" s="202">
        <f>IF('2. CHW Input'!$C$2&lt;&gt;"Policy",$H78*Service_Numbers!O78,IF('4. Policy Interactive Screen'!$G87&gt;0,$H78*Service_Numbers!O78,0))*'3. Intervention Details'!$H78</f>
        <v>0</v>
      </c>
      <c r="AK78" s="18" t="str">
        <f t="shared" si="19"/>
        <v/>
      </c>
      <c r="AL78" s="18">
        <f t="shared" si="24"/>
        <v>77</v>
      </c>
      <c r="AM78" s="18" t="e">
        <f t="shared" ca="1" si="22"/>
        <v>#REF!</v>
      </c>
      <c r="AN78" s="18">
        <f t="shared" ca="1" si="20"/>
        <v>17</v>
      </c>
      <c r="AO78" s="18" t="e">
        <f t="shared" ca="1" si="23"/>
        <v>#REF!</v>
      </c>
      <c r="AP78" s="18"/>
      <c r="AQ78" s="18"/>
      <c r="AR78" s="18"/>
      <c r="AT78" s="18" t="e">
        <f t="shared" ca="1" si="21"/>
        <v>#REF!</v>
      </c>
      <c r="AU78" s="198" t="str">
        <f t="shared" si="18"/>
        <v/>
      </c>
    </row>
    <row r="79" spans="1:47" ht="15" thickBot="1" x14ac:dyDescent="0.45">
      <c r="A79" s="203">
        <v>74</v>
      </c>
      <c r="B79" s="204" t="str">
        <f>IF(Coverage!$B79="","",Coverage!$B79)</f>
        <v/>
      </c>
      <c r="C79" s="34" t="str">
        <f t="shared" si="16"/>
        <v/>
      </c>
      <c r="D79" s="195" t="str">
        <f>Service_Numbers!AA79</f>
        <v/>
      </c>
      <c r="E79" s="195" t="str">
        <f>Service_Numbers!AB79</f>
        <v/>
      </c>
      <c r="F79" s="195" t="str">
        <f>Service_Numbers!AC79</f>
        <v/>
      </c>
      <c r="G79" s="195" t="str">
        <f>Service_Numbers!AD79</f>
        <v/>
      </c>
      <c r="H79" s="49">
        <f t="shared" si="17"/>
        <v>0</v>
      </c>
      <c r="I79" s="202">
        <f>IF('2. CHW Input'!$C$2&lt;&gt;"Policy",$H79*Service_Numbers!L79,IF('4. Policy Interactive Screen'!$D88&gt;0,$H79*Service_Numbers!L79,0))*'3. Intervention Details'!$H79</f>
        <v>0</v>
      </c>
      <c r="J79" s="202">
        <f>IF('2. CHW Input'!$C$2&lt;&gt;"Policy",$H79*Service_Numbers!M79,IF('4. Policy Interactive Screen'!$G88&gt;0,$H79*Service_Numbers!M79,0))*'3. Intervention Details'!$H79</f>
        <v>0</v>
      </c>
      <c r="K79" s="202">
        <f>IF('2. CHW Input'!$C$2&lt;&gt;"Policy",$H79*Service_Numbers!N79,IF('4. Policy Interactive Screen'!$J88&gt;0,$H79*Service_Numbers!N79,0))*'3. Intervention Details'!$H79</f>
        <v>0</v>
      </c>
      <c r="L79" s="202">
        <f>IF('2. CHW Input'!$C$2&lt;&gt;"Policy",$H79*Service_Numbers!O79,IF('4. Policy Interactive Screen'!$G88&gt;0,$H79*Service_Numbers!O79,0))*'3. Intervention Details'!$H79</f>
        <v>0</v>
      </c>
      <c r="AK79" s="18" t="str">
        <f t="shared" si="19"/>
        <v/>
      </c>
      <c r="AL79" s="18">
        <f t="shared" si="24"/>
        <v>78</v>
      </c>
      <c r="AM79" s="18" t="e">
        <f t="shared" ca="1" si="22"/>
        <v>#REF!</v>
      </c>
      <c r="AN79" s="18">
        <f t="shared" ca="1" si="20"/>
        <v>17</v>
      </c>
      <c r="AO79" s="18" t="e">
        <f t="shared" ca="1" si="23"/>
        <v>#REF!</v>
      </c>
      <c r="AP79" s="18"/>
      <c r="AQ79" s="18"/>
      <c r="AR79" s="18"/>
      <c r="AT79" s="18" t="e">
        <f t="shared" ca="1" si="21"/>
        <v>#REF!</v>
      </c>
      <c r="AU79" s="198" t="str">
        <f t="shared" si="18"/>
        <v/>
      </c>
    </row>
    <row r="80" spans="1:47" ht="15" thickBot="1" x14ac:dyDescent="0.45">
      <c r="A80" s="203">
        <v>75</v>
      </c>
      <c r="B80" s="204" t="str">
        <f>IF(Coverage!$B80="","",Coverage!$B80)</f>
        <v/>
      </c>
      <c r="C80" s="34" t="str">
        <f t="shared" si="16"/>
        <v/>
      </c>
      <c r="D80" s="195" t="str">
        <f>Service_Numbers!AA80</f>
        <v/>
      </c>
      <c r="E80" s="195" t="str">
        <f>Service_Numbers!AB80</f>
        <v/>
      </c>
      <c r="F80" s="195" t="str">
        <f>Service_Numbers!AC80</f>
        <v/>
      </c>
      <c r="G80" s="195" t="str">
        <f>Service_Numbers!AD80</f>
        <v/>
      </c>
      <c r="H80" s="49">
        <f t="shared" si="17"/>
        <v>0</v>
      </c>
      <c r="I80" s="202">
        <f>IF('2. CHW Input'!$C$2&lt;&gt;"Policy",$H80*Service_Numbers!L80,IF('4. Policy Interactive Screen'!$D89&gt;0,$H80*Service_Numbers!L80,0))*'3. Intervention Details'!$H80</f>
        <v>0</v>
      </c>
      <c r="J80" s="202">
        <f>IF('2. CHW Input'!$C$2&lt;&gt;"Policy",$H80*Service_Numbers!M80,IF('4. Policy Interactive Screen'!$G89&gt;0,$H80*Service_Numbers!M80,0))*'3. Intervention Details'!$H80</f>
        <v>0</v>
      </c>
      <c r="K80" s="202">
        <f>IF('2. CHW Input'!$C$2&lt;&gt;"Policy",$H80*Service_Numbers!N80,IF('4. Policy Interactive Screen'!$J89&gt;0,$H80*Service_Numbers!N80,0))*'3. Intervention Details'!$H80</f>
        <v>0</v>
      </c>
      <c r="L80" s="202">
        <f>IF('2. CHW Input'!$C$2&lt;&gt;"Policy",$H80*Service_Numbers!O80,IF('4. Policy Interactive Screen'!$G89&gt;0,$H80*Service_Numbers!O80,0))*'3. Intervention Details'!$H80</f>
        <v>0</v>
      </c>
      <c r="AK80" s="18" t="str">
        <f t="shared" si="19"/>
        <v/>
      </c>
      <c r="AL80" s="18">
        <f t="shared" si="24"/>
        <v>79</v>
      </c>
      <c r="AM80" s="18" t="e">
        <f t="shared" ca="1" si="22"/>
        <v>#REF!</v>
      </c>
      <c r="AN80" s="18">
        <f t="shared" ca="1" si="20"/>
        <v>17</v>
      </c>
      <c r="AO80" s="18" t="e">
        <f t="shared" ca="1" si="23"/>
        <v>#REF!</v>
      </c>
      <c r="AP80" s="18"/>
      <c r="AQ80" s="18"/>
      <c r="AR80" s="18"/>
      <c r="AT80" s="18" t="e">
        <f t="shared" ca="1" si="21"/>
        <v>#REF!</v>
      </c>
      <c r="AU80" s="198" t="str">
        <f t="shared" si="18"/>
        <v/>
      </c>
    </row>
    <row r="81" spans="1:47" ht="15" thickBot="1" x14ac:dyDescent="0.45">
      <c r="A81" s="203">
        <v>76</v>
      </c>
      <c r="B81" s="204" t="str">
        <f>IF(Coverage!$B81="","",Coverage!$B81)</f>
        <v/>
      </c>
      <c r="C81" s="34" t="str">
        <f t="shared" si="16"/>
        <v/>
      </c>
      <c r="D81" s="195" t="str">
        <f>Service_Numbers!AA81</f>
        <v/>
      </c>
      <c r="E81" s="195" t="str">
        <f>Service_Numbers!AB81</f>
        <v/>
      </c>
      <c r="F81" s="195" t="str">
        <f>Service_Numbers!AC81</f>
        <v/>
      </c>
      <c r="G81" s="195" t="str">
        <f>Service_Numbers!AD81</f>
        <v/>
      </c>
      <c r="H81" s="49">
        <f t="shared" si="17"/>
        <v>0</v>
      </c>
      <c r="I81" s="202">
        <f>IF('2. CHW Input'!$C$2&lt;&gt;"Policy",$H81*Service_Numbers!L81,IF('4. Policy Interactive Screen'!$D90&gt;0,$H81*Service_Numbers!L81,0))*'3. Intervention Details'!$H81</f>
        <v>0</v>
      </c>
      <c r="J81" s="202">
        <f>IF('2. CHW Input'!$C$2&lt;&gt;"Policy",$H81*Service_Numbers!M81,IF('4. Policy Interactive Screen'!$G90&gt;0,$H81*Service_Numbers!M81,0))*'3. Intervention Details'!$H81</f>
        <v>0</v>
      </c>
      <c r="K81" s="202">
        <f>IF('2. CHW Input'!$C$2&lt;&gt;"Policy",$H81*Service_Numbers!N81,IF('4. Policy Interactive Screen'!$J90&gt;0,$H81*Service_Numbers!N81,0))*'3. Intervention Details'!$H81</f>
        <v>0</v>
      </c>
      <c r="L81" s="202">
        <f>IF('2. CHW Input'!$C$2&lt;&gt;"Policy",$H81*Service_Numbers!O81,IF('4. Policy Interactive Screen'!$G90&gt;0,$H81*Service_Numbers!O81,0))*'3. Intervention Details'!$H81</f>
        <v>0</v>
      </c>
      <c r="AK81" s="18" t="str">
        <f t="shared" si="19"/>
        <v/>
      </c>
      <c r="AL81" s="18">
        <f t="shared" si="24"/>
        <v>80</v>
      </c>
      <c r="AM81" s="18" t="e">
        <f t="shared" ca="1" si="22"/>
        <v>#REF!</v>
      </c>
      <c r="AN81" s="18">
        <f t="shared" ca="1" si="20"/>
        <v>17</v>
      </c>
      <c r="AO81" s="18" t="e">
        <f t="shared" ca="1" si="23"/>
        <v>#REF!</v>
      </c>
      <c r="AP81" s="18"/>
      <c r="AQ81" s="18"/>
      <c r="AR81" s="18"/>
      <c r="AT81" s="18" t="e">
        <f t="shared" ca="1" si="21"/>
        <v>#REF!</v>
      </c>
      <c r="AU81" s="198" t="str">
        <f t="shared" si="18"/>
        <v/>
      </c>
    </row>
    <row r="82" spans="1:47" ht="15" thickBot="1" x14ac:dyDescent="0.45">
      <c r="A82" s="203">
        <v>77</v>
      </c>
      <c r="B82" s="204" t="str">
        <f>IF(Coverage!$B82="","",Coverage!$B82)</f>
        <v/>
      </c>
      <c r="C82" s="34" t="str">
        <f t="shared" si="16"/>
        <v/>
      </c>
      <c r="D82" s="195" t="str">
        <f>Service_Numbers!AA82</f>
        <v/>
      </c>
      <c r="E82" s="195" t="str">
        <f>Service_Numbers!AB82</f>
        <v/>
      </c>
      <c r="F82" s="195" t="str">
        <f>Service_Numbers!AC82</f>
        <v/>
      </c>
      <c r="G82" s="195" t="str">
        <f>Service_Numbers!AD82</f>
        <v/>
      </c>
      <c r="H82" s="49">
        <f t="shared" si="17"/>
        <v>0</v>
      </c>
      <c r="I82" s="202">
        <f>IF('2. CHW Input'!$C$2&lt;&gt;"Policy",$H82*Service_Numbers!L82,IF('4. Policy Interactive Screen'!$D91&gt;0,$H82*Service_Numbers!L82,0))*'3. Intervention Details'!$H82</f>
        <v>0</v>
      </c>
      <c r="J82" s="202">
        <f>IF('2. CHW Input'!$C$2&lt;&gt;"Policy",$H82*Service_Numbers!M82,IF('4. Policy Interactive Screen'!$G91&gt;0,$H82*Service_Numbers!M82,0))*'3. Intervention Details'!$H82</f>
        <v>0</v>
      </c>
      <c r="K82" s="202">
        <f>IF('2. CHW Input'!$C$2&lt;&gt;"Policy",$H82*Service_Numbers!N82,IF('4. Policy Interactive Screen'!$J91&gt;0,$H82*Service_Numbers!N82,0))*'3. Intervention Details'!$H82</f>
        <v>0</v>
      </c>
      <c r="L82" s="202">
        <f>IF('2. CHW Input'!$C$2&lt;&gt;"Policy",$H82*Service_Numbers!O82,IF('4. Policy Interactive Screen'!$G91&gt;0,$H82*Service_Numbers!O82,0))*'3. Intervention Details'!$H82</f>
        <v>0</v>
      </c>
      <c r="AK82" s="18" t="str">
        <f t="shared" si="19"/>
        <v/>
      </c>
      <c r="AL82" s="18">
        <f t="shared" si="24"/>
        <v>81</v>
      </c>
      <c r="AM82" s="18" t="e">
        <f t="shared" ca="1" si="22"/>
        <v>#REF!</v>
      </c>
      <c r="AN82" s="18">
        <f t="shared" ca="1" si="20"/>
        <v>17</v>
      </c>
      <c r="AO82" s="18" t="e">
        <f t="shared" ca="1" si="23"/>
        <v>#REF!</v>
      </c>
      <c r="AP82" s="18"/>
      <c r="AQ82" s="18"/>
      <c r="AR82" s="18"/>
      <c r="AT82" s="18" t="e">
        <f t="shared" ca="1" si="21"/>
        <v>#REF!</v>
      </c>
      <c r="AU82" s="198" t="str">
        <f t="shared" si="18"/>
        <v/>
      </c>
    </row>
    <row r="83" spans="1:47" ht="15" thickBot="1" x14ac:dyDescent="0.45">
      <c r="A83" s="203">
        <v>78</v>
      </c>
      <c r="B83" s="204" t="str">
        <f>IF(Coverage!$B83="","",Coverage!$B83)</f>
        <v/>
      </c>
      <c r="C83" s="34" t="str">
        <f t="shared" si="16"/>
        <v/>
      </c>
      <c r="D83" s="195" t="str">
        <f>Service_Numbers!AA83</f>
        <v/>
      </c>
      <c r="E83" s="195" t="str">
        <f>Service_Numbers!AB83</f>
        <v/>
      </c>
      <c r="F83" s="195" t="str">
        <f>Service_Numbers!AC83</f>
        <v/>
      </c>
      <c r="G83" s="195" t="str">
        <f>Service_Numbers!AD83</f>
        <v/>
      </c>
      <c r="H83" s="49">
        <f t="shared" si="17"/>
        <v>0</v>
      </c>
      <c r="I83" s="202">
        <f>IF('2. CHW Input'!$C$2&lt;&gt;"Policy",$H83*Service_Numbers!L83,IF('4. Policy Interactive Screen'!$D92&gt;0,$H83*Service_Numbers!L83,0))*'3. Intervention Details'!$H83</f>
        <v>0</v>
      </c>
      <c r="J83" s="202">
        <f>IF('2. CHW Input'!$C$2&lt;&gt;"Policy",$H83*Service_Numbers!M83,IF('4. Policy Interactive Screen'!$G92&gt;0,$H83*Service_Numbers!M83,0))*'3. Intervention Details'!$H83</f>
        <v>0</v>
      </c>
      <c r="K83" s="202">
        <f>IF('2. CHW Input'!$C$2&lt;&gt;"Policy",$H83*Service_Numbers!N83,IF('4. Policy Interactive Screen'!$J92&gt;0,$H83*Service_Numbers!N83,0))*'3. Intervention Details'!$H83</f>
        <v>0</v>
      </c>
      <c r="L83" s="202">
        <f>IF('2. CHW Input'!$C$2&lt;&gt;"Policy",$H83*Service_Numbers!O83,IF('4. Policy Interactive Screen'!$G92&gt;0,$H83*Service_Numbers!O83,0))*'3. Intervention Details'!$H83</f>
        <v>0</v>
      </c>
      <c r="AK83" s="18" t="str">
        <f t="shared" si="19"/>
        <v/>
      </c>
      <c r="AL83" s="18">
        <f t="shared" si="24"/>
        <v>82</v>
      </c>
      <c r="AM83" s="18" t="e">
        <f t="shared" ca="1" si="22"/>
        <v>#REF!</v>
      </c>
      <c r="AN83" s="18">
        <f t="shared" ca="1" si="20"/>
        <v>17</v>
      </c>
      <c r="AO83" s="18" t="e">
        <f t="shared" ca="1" si="23"/>
        <v>#REF!</v>
      </c>
      <c r="AP83" s="18"/>
      <c r="AQ83" s="18"/>
      <c r="AR83" s="18"/>
      <c r="AT83" s="18" t="e">
        <f t="shared" ca="1" si="21"/>
        <v>#REF!</v>
      </c>
      <c r="AU83" s="198" t="str">
        <f t="shared" si="18"/>
        <v/>
      </c>
    </row>
    <row r="84" spans="1:47" ht="15" thickBot="1" x14ac:dyDescent="0.45">
      <c r="A84" s="203">
        <v>79</v>
      </c>
      <c r="B84" s="204" t="str">
        <f>IF(Coverage!$B84="","",Coverage!$B84)</f>
        <v/>
      </c>
      <c r="C84" s="34" t="str">
        <f t="shared" si="16"/>
        <v/>
      </c>
      <c r="D84" s="195" t="str">
        <f>Service_Numbers!AA84</f>
        <v/>
      </c>
      <c r="E84" s="195" t="str">
        <f>Service_Numbers!AB84</f>
        <v/>
      </c>
      <c r="F84" s="195" t="str">
        <f>Service_Numbers!AC84</f>
        <v/>
      </c>
      <c r="G84" s="195" t="str">
        <f>Service_Numbers!AD84</f>
        <v/>
      </c>
      <c r="H84" s="49">
        <f t="shared" si="17"/>
        <v>0</v>
      </c>
      <c r="I84" s="202">
        <f>IF('2. CHW Input'!$C$2&lt;&gt;"Policy",$H84*Service_Numbers!L84,IF('4. Policy Interactive Screen'!$D93&gt;0,$H84*Service_Numbers!L84,0))*'3. Intervention Details'!$H84</f>
        <v>0</v>
      </c>
      <c r="J84" s="202">
        <f>IF('2. CHW Input'!$C$2&lt;&gt;"Policy",$H84*Service_Numbers!M84,IF('4. Policy Interactive Screen'!$G93&gt;0,$H84*Service_Numbers!M84,0))*'3. Intervention Details'!$H84</f>
        <v>0</v>
      </c>
      <c r="K84" s="202">
        <f>IF('2. CHW Input'!$C$2&lt;&gt;"Policy",$H84*Service_Numbers!N84,IF('4. Policy Interactive Screen'!$J93&gt;0,$H84*Service_Numbers!N84,0))*'3. Intervention Details'!$H84</f>
        <v>0</v>
      </c>
      <c r="L84" s="202">
        <f>IF('2. CHW Input'!$C$2&lt;&gt;"Policy",$H84*Service_Numbers!O84,IF('4. Policy Interactive Screen'!$G93&gt;0,$H84*Service_Numbers!O84,0))*'3. Intervention Details'!$H84</f>
        <v>0</v>
      </c>
      <c r="AK84" s="18" t="str">
        <f t="shared" si="19"/>
        <v/>
      </c>
      <c r="AL84" s="18">
        <f t="shared" si="24"/>
        <v>83</v>
      </c>
      <c r="AM84" s="18" t="e">
        <f t="shared" ca="1" si="22"/>
        <v>#REF!</v>
      </c>
      <c r="AN84" s="18">
        <f t="shared" ca="1" si="20"/>
        <v>17</v>
      </c>
      <c r="AO84" s="18" t="e">
        <f t="shared" ca="1" si="23"/>
        <v>#REF!</v>
      </c>
      <c r="AP84" s="18"/>
      <c r="AQ84" s="18"/>
      <c r="AR84" s="18"/>
      <c r="AT84" s="18" t="e">
        <f t="shared" ca="1" si="21"/>
        <v>#REF!</v>
      </c>
      <c r="AU84" s="198" t="str">
        <f t="shared" si="18"/>
        <v/>
      </c>
    </row>
    <row r="85" spans="1:47" ht="15" thickBot="1" x14ac:dyDescent="0.45">
      <c r="A85" s="203">
        <v>80</v>
      </c>
      <c r="B85" s="204" t="str">
        <f>IF(Coverage!$B85="","",Coverage!$B85)</f>
        <v/>
      </c>
      <c r="C85" s="34" t="str">
        <f t="shared" si="16"/>
        <v/>
      </c>
      <c r="D85" s="195" t="str">
        <f>Service_Numbers!AA85</f>
        <v/>
      </c>
      <c r="E85" s="195" t="str">
        <f>Service_Numbers!AB85</f>
        <v/>
      </c>
      <c r="F85" s="195" t="str">
        <f>Service_Numbers!AC85</f>
        <v/>
      </c>
      <c r="G85" s="195" t="str">
        <f>Service_Numbers!AD85</f>
        <v/>
      </c>
      <c r="H85" s="49">
        <f t="shared" si="17"/>
        <v>0</v>
      </c>
      <c r="I85" s="202">
        <f>IF('2. CHW Input'!$C$2&lt;&gt;"Policy",$H85*Service_Numbers!L85,IF('4. Policy Interactive Screen'!$D94&gt;0,$H85*Service_Numbers!L85,0))*'3. Intervention Details'!$H85</f>
        <v>0</v>
      </c>
      <c r="J85" s="202">
        <f>IF('2. CHW Input'!$C$2&lt;&gt;"Policy",$H85*Service_Numbers!M85,IF('4. Policy Interactive Screen'!$G94&gt;0,$H85*Service_Numbers!M85,0))*'3. Intervention Details'!$H85</f>
        <v>0</v>
      </c>
      <c r="K85" s="202">
        <f>IF('2. CHW Input'!$C$2&lt;&gt;"Policy",$H85*Service_Numbers!N85,IF('4. Policy Interactive Screen'!$J94&gt;0,$H85*Service_Numbers!N85,0))*'3. Intervention Details'!$H85</f>
        <v>0</v>
      </c>
      <c r="L85" s="202">
        <f>IF('2. CHW Input'!$C$2&lt;&gt;"Policy",$H85*Service_Numbers!O85,IF('4. Policy Interactive Screen'!$G94&gt;0,$H85*Service_Numbers!O85,0))*'3. Intervention Details'!$H85</f>
        <v>0</v>
      </c>
      <c r="AK85" s="18" t="str">
        <f t="shared" si="19"/>
        <v/>
      </c>
      <c r="AL85" s="18">
        <f t="shared" si="24"/>
        <v>84</v>
      </c>
      <c r="AM85" s="18" t="e">
        <f t="shared" ca="1" si="22"/>
        <v>#REF!</v>
      </c>
      <c r="AN85" s="18">
        <f t="shared" ca="1" si="20"/>
        <v>17</v>
      </c>
      <c r="AO85" s="18" t="e">
        <f t="shared" ca="1" si="23"/>
        <v>#REF!</v>
      </c>
      <c r="AP85" s="18"/>
      <c r="AQ85" s="18"/>
      <c r="AR85" s="18"/>
      <c r="AT85" s="18" t="e">
        <f t="shared" ca="1" si="21"/>
        <v>#REF!</v>
      </c>
      <c r="AU85" s="198" t="str">
        <f t="shared" si="18"/>
        <v/>
      </c>
    </row>
    <row r="86" spans="1:47" ht="15" thickBot="1" x14ac:dyDescent="0.45">
      <c r="A86" s="203">
        <v>81</v>
      </c>
      <c r="B86" s="204" t="str">
        <f>IF(Coverage!$B86="","",Coverage!$B86)</f>
        <v/>
      </c>
      <c r="C86" s="34" t="str">
        <f t="shared" si="16"/>
        <v/>
      </c>
      <c r="D86" s="195" t="str">
        <f>Service_Numbers!AA86</f>
        <v/>
      </c>
      <c r="E86" s="195" t="str">
        <f>Service_Numbers!AB86</f>
        <v/>
      </c>
      <c r="F86" s="195" t="str">
        <f>Service_Numbers!AC86</f>
        <v/>
      </c>
      <c r="G86" s="195" t="str">
        <f>Service_Numbers!AD86</f>
        <v/>
      </c>
      <c r="H86" s="49">
        <f t="shared" si="17"/>
        <v>0</v>
      </c>
      <c r="I86" s="202">
        <f>IF('2. CHW Input'!$C$2&lt;&gt;"Policy",$H86*Service_Numbers!L86,IF('4. Policy Interactive Screen'!$D95&gt;0,$H86*Service_Numbers!L86,0))*'3. Intervention Details'!$H86</f>
        <v>0</v>
      </c>
      <c r="J86" s="202">
        <f>IF('2. CHW Input'!$C$2&lt;&gt;"Policy",$H86*Service_Numbers!M86,IF('4. Policy Interactive Screen'!$G95&gt;0,$H86*Service_Numbers!M86,0))*'3. Intervention Details'!$H86</f>
        <v>0</v>
      </c>
      <c r="K86" s="202">
        <f>IF('2. CHW Input'!$C$2&lt;&gt;"Policy",$H86*Service_Numbers!N86,IF('4. Policy Interactive Screen'!$J95&gt;0,$H86*Service_Numbers!N86,0))*'3. Intervention Details'!$H86</f>
        <v>0</v>
      </c>
      <c r="L86" s="202">
        <f>IF('2. CHW Input'!$C$2&lt;&gt;"Policy",$H86*Service_Numbers!O86,IF('4. Policy Interactive Screen'!$G95&gt;0,$H86*Service_Numbers!O86,0))*'3. Intervention Details'!$H86</f>
        <v>0</v>
      </c>
      <c r="AK86" s="18" t="str">
        <f t="shared" si="19"/>
        <v/>
      </c>
      <c r="AL86" s="18">
        <f t="shared" si="24"/>
        <v>85</v>
      </c>
      <c r="AM86" s="18" t="e">
        <f t="shared" ca="1" si="22"/>
        <v>#REF!</v>
      </c>
      <c r="AN86" s="18">
        <f t="shared" ca="1" si="20"/>
        <v>17</v>
      </c>
      <c r="AO86" s="18" t="e">
        <f t="shared" ca="1" si="23"/>
        <v>#REF!</v>
      </c>
      <c r="AP86" s="18"/>
      <c r="AQ86" s="18"/>
      <c r="AR86" s="18"/>
      <c r="AT86" s="18" t="e">
        <f t="shared" ca="1" si="21"/>
        <v>#REF!</v>
      </c>
      <c r="AU86" s="198" t="str">
        <f t="shared" si="18"/>
        <v/>
      </c>
    </row>
    <row r="87" spans="1:47" ht="15" thickBot="1" x14ac:dyDescent="0.45">
      <c r="A87" s="203">
        <v>82</v>
      </c>
      <c r="B87" s="204" t="str">
        <f>IF(Coverage!$B87="","",Coverage!$B87)</f>
        <v/>
      </c>
      <c r="C87" s="34" t="str">
        <f t="shared" si="16"/>
        <v/>
      </c>
      <c r="D87" s="195" t="str">
        <f>Service_Numbers!AA87</f>
        <v/>
      </c>
      <c r="E87" s="195" t="str">
        <f>Service_Numbers!AB87</f>
        <v/>
      </c>
      <c r="F87" s="195" t="str">
        <f>Service_Numbers!AC87</f>
        <v/>
      </c>
      <c r="G87" s="195" t="str">
        <f>Service_Numbers!AD87</f>
        <v/>
      </c>
      <c r="H87" s="49">
        <f t="shared" si="17"/>
        <v>0</v>
      </c>
      <c r="I87" s="202">
        <f>IF('2. CHW Input'!$C$2&lt;&gt;"Policy",$H87*Service_Numbers!L87,IF('4. Policy Interactive Screen'!$D96&gt;0,$H87*Service_Numbers!L87,0))*'3. Intervention Details'!$H87</f>
        <v>0</v>
      </c>
      <c r="J87" s="202">
        <f>IF('2. CHW Input'!$C$2&lt;&gt;"Policy",$H87*Service_Numbers!M87,IF('4. Policy Interactive Screen'!$G96&gt;0,$H87*Service_Numbers!M87,0))*'3. Intervention Details'!$H87</f>
        <v>0</v>
      </c>
      <c r="K87" s="202">
        <f>IF('2. CHW Input'!$C$2&lt;&gt;"Policy",$H87*Service_Numbers!N87,IF('4. Policy Interactive Screen'!$J96&gt;0,$H87*Service_Numbers!N87,0))*'3. Intervention Details'!$H87</f>
        <v>0</v>
      </c>
      <c r="L87" s="202">
        <f>IF('2. CHW Input'!$C$2&lt;&gt;"Policy",$H87*Service_Numbers!O87,IF('4. Policy Interactive Screen'!$G96&gt;0,$H87*Service_Numbers!O87,0))*'3. Intervention Details'!$H87</f>
        <v>0</v>
      </c>
      <c r="AK87" s="18" t="str">
        <f t="shared" si="19"/>
        <v/>
      </c>
      <c r="AL87" s="18">
        <f t="shared" si="24"/>
        <v>86</v>
      </c>
      <c r="AM87" s="18" t="e">
        <f t="shared" ca="1" si="22"/>
        <v>#REF!</v>
      </c>
      <c r="AN87" s="18">
        <f t="shared" ca="1" si="20"/>
        <v>17</v>
      </c>
      <c r="AO87" s="18" t="e">
        <f t="shared" ca="1" si="23"/>
        <v>#REF!</v>
      </c>
      <c r="AP87" s="18"/>
      <c r="AQ87" s="18"/>
      <c r="AR87" s="18"/>
      <c r="AT87" s="18" t="e">
        <f t="shared" ca="1" si="21"/>
        <v>#REF!</v>
      </c>
      <c r="AU87" s="198" t="str">
        <f t="shared" si="18"/>
        <v/>
      </c>
    </row>
    <row r="88" spans="1:47" ht="15" thickBot="1" x14ac:dyDescent="0.45">
      <c r="A88" s="203">
        <v>83</v>
      </c>
      <c r="B88" s="204" t="str">
        <f>IF(Coverage!$B88="","",Coverage!$B88)</f>
        <v/>
      </c>
      <c r="C88" s="34" t="str">
        <f t="shared" si="16"/>
        <v/>
      </c>
      <c r="D88" s="195" t="str">
        <f>Service_Numbers!AA88</f>
        <v/>
      </c>
      <c r="E88" s="195" t="str">
        <f>Service_Numbers!AB88</f>
        <v/>
      </c>
      <c r="F88" s="195" t="str">
        <f>Service_Numbers!AC88</f>
        <v/>
      </c>
      <c r="G88" s="195" t="str">
        <f>Service_Numbers!AD88</f>
        <v/>
      </c>
      <c r="H88" s="49">
        <f t="shared" si="17"/>
        <v>0</v>
      </c>
      <c r="I88" s="202">
        <f>IF('2. CHW Input'!$C$2&lt;&gt;"Policy",$H88*Service_Numbers!L88,IF('4. Policy Interactive Screen'!$D97&gt;0,$H88*Service_Numbers!L88,0))*'3. Intervention Details'!$H88</f>
        <v>0</v>
      </c>
      <c r="J88" s="202">
        <f>IF('2. CHW Input'!$C$2&lt;&gt;"Policy",$H88*Service_Numbers!M88,IF('4. Policy Interactive Screen'!$G97&gt;0,$H88*Service_Numbers!M88,0))*'3. Intervention Details'!$H88</f>
        <v>0</v>
      </c>
      <c r="K88" s="202">
        <f>IF('2. CHW Input'!$C$2&lt;&gt;"Policy",$H88*Service_Numbers!N88,IF('4. Policy Interactive Screen'!$J97&gt;0,$H88*Service_Numbers!N88,0))*'3. Intervention Details'!$H88</f>
        <v>0</v>
      </c>
      <c r="L88" s="202">
        <f>IF('2. CHW Input'!$C$2&lt;&gt;"Policy",$H88*Service_Numbers!O88,IF('4. Policy Interactive Screen'!$G97&gt;0,$H88*Service_Numbers!O88,0))*'3. Intervention Details'!$H88</f>
        <v>0</v>
      </c>
      <c r="AK88" s="18" t="str">
        <f t="shared" si="19"/>
        <v/>
      </c>
      <c r="AL88" s="18">
        <f t="shared" si="24"/>
        <v>87</v>
      </c>
      <c r="AM88" s="18" t="e">
        <f t="shared" ca="1" si="22"/>
        <v>#REF!</v>
      </c>
      <c r="AN88" s="18">
        <f t="shared" ca="1" si="20"/>
        <v>17</v>
      </c>
      <c r="AO88" s="18" t="e">
        <f t="shared" ca="1" si="23"/>
        <v>#REF!</v>
      </c>
      <c r="AP88" s="18"/>
      <c r="AQ88" s="18"/>
      <c r="AR88" s="18"/>
      <c r="AT88" s="18" t="e">
        <f t="shared" ca="1" si="21"/>
        <v>#REF!</v>
      </c>
      <c r="AU88" s="198" t="str">
        <f t="shared" si="18"/>
        <v/>
      </c>
    </row>
    <row r="89" spans="1:47" ht="15" thickBot="1" x14ac:dyDescent="0.45">
      <c r="A89" s="203">
        <v>84</v>
      </c>
      <c r="B89" s="204" t="str">
        <f>IF(Coverage!$B89="","",Coverage!$B89)</f>
        <v/>
      </c>
      <c r="C89" s="34" t="str">
        <f t="shared" si="16"/>
        <v/>
      </c>
      <c r="D89" s="195" t="str">
        <f>Service_Numbers!AA89</f>
        <v/>
      </c>
      <c r="E89" s="195" t="str">
        <f>Service_Numbers!AB89</f>
        <v/>
      </c>
      <c r="F89" s="195" t="str">
        <f>Service_Numbers!AC89</f>
        <v/>
      </c>
      <c r="G89" s="195" t="str">
        <f>Service_Numbers!AD89</f>
        <v/>
      </c>
      <c r="H89" s="49">
        <f t="shared" si="17"/>
        <v>0</v>
      </c>
      <c r="I89" s="202">
        <f>IF('2. CHW Input'!$C$2&lt;&gt;"Policy",$H89*Service_Numbers!L89,IF('4. Policy Interactive Screen'!$D98&gt;0,$H89*Service_Numbers!L89,0))*'3. Intervention Details'!$H89</f>
        <v>0</v>
      </c>
      <c r="J89" s="202">
        <f>IF('2. CHW Input'!$C$2&lt;&gt;"Policy",$H89*Service_Numbers!M89,IF('4. Policy Interactive Screen'!$G98&gt;0,$H89*Service_Numbers!M89,0))*'3. Intervention Details'!$H89</f>
        <v>0</v>
      </c>
      <c r="K89" s="202">
        <f>IF('2. CHW Input'!$C$2&lt;&gt;"Policy",$H89*Service_Numbers!N89,IF('4. Policy Interactive Screen'!$J98&gt;0,$H89*Service_Numbers!N89,0))*'3. Intervention Details'!$H89</f>
        <v>0</v>
      </c>
      <c r="L89" s="202">
        <f>IF('2. CHW Input'!$C$2&lt;&gt;"Policy",$H89*Service_Numbers!O89,IF('4. Policy Interactive Screen'!$G98&gt;0,$H89*Service_Numbers!O89,0))*'3. Intervention Details'!$H89</f>
        <v>0</v>
      </c>
      <c r="AK89" s="18" t="str">
        <f t="shared" si="19"/>
        <v/>
      </c>
      <c r="AL89" s="18">
        <f t="shared" si="24"/>
        <v>88</v>
      </c>
      <c r="AM89" s="18" t="e">
        <f t="shared" ca="1" si="22"/>
        <v>#REF!</v>
      </c>
      <c r="AN89" s="18">
        <f t="shared" ca="1" si="20"/>
        <v>17</v>
      </c>
      <c r="AO89" s="18" t="e">
        <f t="shared" ca="1" si="23"/>
        <v>#REF!</v>
      </c>
      <c r="AP89" s="18"/>
      <c r="AQ89" s="18"/>
      <c r="AR89" s="18"/>
      <c r="AT89" s="18" t="e">
        <f t="shared" ca="1" si="21"/>
        <v>#REF!</v>
      </c>
      <c r="AU89" s="198" t="str">
        <f t="shared" si="18"/>
        <v/>
      </c>
    </row>
    <row r="90" spans="1:47" ht="15" thickBot="1" x14ac:dyDescent="0.45">
      <c r="A90" s="203">
        <v>85</v>
      </c>
      <c r="B90" s="204" t="str">
        <f>IF(Coverage!$B90="","",Coverage!$B90)</f>
        <v/>
      </c>
      <c r="C90" s="34" t="str">
        <f t="shared" si="16"/>
        <v/>
      </c>
      <c r="D90" s="195" t="str">
        <f>Service_Numbers!AA90</f>
        <v/>
      </c>
      <c r="E90" s="195" t="str">
        <f>Service_Numbers!AB90</f>
        <v/>
      </c>
      <c r="F90" s="195" t="str">
        <f>Service_Numbers!AC90</f>
        <v/>
      </c>
      <c r="G90" s="195" t="str">
        <f>Service_Numbers!AD90</f>
        <v/>
      </c>
      <c r="H90" s="49">
        <f t="shared" si="17"/>
        <v>0</v>
      </c>
      <c r="I90" s="202">
        <f>IF('2. CHW Input'!$C$2&lt;&gt;"Policy",$H90*Service_Numbers!L90,IF('4. Policy Interactive Screen'!$D99&gt;0,$H90*Service_Numbers!L90,0))*'3. Intervention Details'!$H90</f>
        <v>0</v>
      </c>
      <c r="J90" s="202">
        <f>IF('2. CHW Input'!$C$2&lt;&gt;"Policy",$H90*Service_Numbers!M90,IF('4. Policy Interactive Screen'!$G99&gt;0,$H90*Service_Numbers!M90,0))*'3. Intervention Details'!$H90</f>
        <v>0</v>
      </c>
      <c r="K90" s="202">
        <f>IF('2. CHW Input'!$C$2&lt;&gt;"Policy",$H90*Service_Numbers!N90,IF('4. Policy Interactive Screen'!$J99&gt;0,$H90*Service_Numbers!N90,0))*'3. Intervention Details'!$H90</f>
        <v>0</v>
      </c>
      <c r="L90" s="202">
        <f>IF('2. CHW Input'!$C$2&lt;&gt;"Policy",$H90*Service_Numbers!O90,IF('4. Policy Interactive Screen'!$G99&gt;0,$H90*Service_Numbers!O90,0))*'3. Intervention Details'!$H90</f>
        <v>0</v>
      </c>
      <c r="AK90" s="18" t="str">
        <f t="shared" si="19"/>
        <v/>
      </c>
      <c r="AL90" s="18">
        <f t="shared" si="24"/>
        <v>89</v>
      </c>
      <c r="AM90" s="18" t="e">
        <f t="shared" ca="1" si="22"/>
        <v>#REF!</v>
      </c>
      <c r="AN90" s="18">
        <f t="shared" ca="1" si="20"/>
        <v>17</v>
      </c>
      <c r="AO90" s="18" t="e">
        <f t="shared" ca="1" si="23"/>
        <v>#REF!</v>
      </c>
      <c r="AP90" s="18"/>
      <c r="AQ90" s="18"/>
      <c r="AR90" s="18"/>
      <c r="AT90" s="18" t="e">
        <f t="shared" ca="1" si="21"/>
        <v>#REF!</v>
      </c>
      <c r="AU90" s="198" t="str">
        <f t="shared" si="18"/>
        <v/>
      </c>
    </row>
    <row r="91" spans="1:47" ht="15" thickBot="1" x14ac:dyDescent="0.45">
      <c r="A91" s="203">
        <v>86</v>
      </c>
      <c r="B91" s="204" t="str">
        <f>IF(Coverage!$B91="","",Coverage!$B91)</f>
        <v/>
      </c>
      <c r="C91" s="34" t="str">
        <f t="shared" si="16"/>
        <v/>
      </c>
      <c r="D91" s="195" t="str">
        <f>Service_Numbers!AA91</f>
        <v/>
      </c>
      <c r="E91" s="195" t="str">
        <f>Service_Numbers!AB91</f>
        <v/>
      </c>
      <c r="F91" s="195" t="str">
        <f>Service_Numbers!AC91</f>
        <v/>
      </c>
      <c r="G91" s="195" t="str">
        <f>Service_Numbers!AD91</f>
        <v/>
      </c>
      <c r="H91" s="49">
        <f t="shared" si="17"/>
        <v>0</v>
      </c>
      <c r="I91" s="202">
        <f>IF('2. CHW Input'!$C$2&lt;&gt;"Policy",$H91*Service_Numbers!L91,IF('4. Policy Interactive Screen'!$D100&gt;0,$H91*Service_Numbers!L91,0))*'3. Intervention Details'!$H91</f>
        <v>0</v>
      </c>
      <c r="J91" s="202">
        <f>IF('2. CHW Input'!$C$2&lt;&gt;"Policy",$H91*Service_Numbers!M91,IF('4. Policy Interactive Screen'!$G100&gt;0,$H91*Service_Numbers!M91,0))*'3. Intervention Details'!$H91</f>
        <v>0</v>
      </c>
      <c r="K91" s="202">
        <f>IF('2. CHW Input'!$C$2&lt;&gt;"Policy",$H91*Service_Numbers!N91,IF('4. Policy Interactive Screen'!$J100&gt;0,$H91*Service_Numbers!N91,0))*'3. Intervention Details'!$H91</f>
        <v>0</v>
      </c>
      <c r="L91" s="202">
        <f>IF('2. CHW Input'!$C$2&lt;&gt;"Policy",$H91*Service_Numbers!O91,IF('4. Policy Interactive Screen'!$G100&gt;0,$H91*Service_Numbers!O91,0))*'3. Intervention Details'!$H91</f>
        <v>0</v>
      </c>
      <c r="AK91" s="18" t="str">
        <f t="shared" si="19"/>
        <v/>
      </c>
      <c r="AL91" s="18">
        <f t="shared" si="24"/>
        <v>90</v>
      </c>
      <c r="AM91" s="18" t="e">
        <f t="shared" ca="1" si="22"/>
        <v>#REF!</v>
      </c>
      <c r="AN91" s="18">
        <f t="shared" ca="1" si="20"/>
        <v>17</v>
      </c>
      <c r="AO91" s="18" t="e">
        <f t="shared" ca="1" si="23"/>
        <v>#REF!</v>
      </c>
      <c r="AP91" s="18"/>
      <c r="AQ91" s="18"/>
      <c r="AR91" s="18"/>
      <c r="AT91" s="18" t="e">
        <f t="shared" ca="1" si="21"/>
        <v>#REF!</v>
      </c>
      <c r="AU91" s="198" t="str">
        <f t="shared" si="18"/>
        <v/>
      </c>
    </row>
    <row r="92" spans="1:47" ht="15" thickBot="1" x14ac:dyDescent="0.45">
      <c r="A92" s="203">
        <v>87</v>
      </c>
      <c r="B92" s="204" t="str">
        <f>IF(Coverage!$B92="","",Coverage!$B92)</f>
        <v/>
      </c>
      <c r="C92" s="34" t="str">
        <f t="shared" si="16"/>
        <v/>
      </c>
      <c r="D92" s="195" t="str">
        <f>Service_Numbers!AA92</f>
        <v/>
      </c>
      <c r="E92" s="195" t="str">
        <f>Service_Numbers!AB92</f>
        <v/>
      </c>
      <c r="F92" s="195" t="str">
        <f>Service_Numbers!AC92</f>
        <v/>
      </c>
      <c r="G92" s="195" t="str">
        <f>Service_Numbers!AD92</f>
        <v/>
      </c>
      <c r="H92" s="49">
        <f t="shared" si="17"/>
        <v>0</v>
      </c>
      <c r="I92" s="202">
        <f>IF('2. CHW Input'!$C$2&lt;&gt;"Policy",$H92*Service_Numbers!L92,IF('4. Policy Interactive Screen'!$D101&gt;0,$H92*Service_Numbers!L92,0))*'3. Intervention Details'!$H92</f>
        <v>0</v>
      </c>
      <c r="J92" s="202">
        <f>IF('2. CHW Input'!$C$2&lt;&gt;"Policy",$H92*Service_Numbers!M92,IF('4. Policy Interactive Screen'!$G101&gt;0,$H92*Service_Numbers!M92,0))*'3. Intervention Details'!$H92</f>
        <v>0</v>
      </c>
      <c r="K92" s="202">
        <f>IF('2. CHW Input'!$C$2&lt;&gt;"Policy",$H92*Service_Numbers!N92,IF('4. Policy Interactive Screen'!$J101&gt;0,$H92*Service_Numbers!N92,0))*'3. Intervention Details'!$H92</f>
        <v>0</v>
      </c>
      <c r="L92" s="202">
        <f>IF('2. CHW Input'!$C$2&lt;&gt;"Policy",$H92*Service_Numbers!O92,IF('4. Policy Interactive Screen'!$G101&gt;0,$H92*Service_Numbers!O92,0))*'3. Intervention Details'!$H92</f>
        <v>0</v>
      </c>
      <c r="AK92" s="18" t="str">
        <f t="shared" si="19"/>
        <v/>
      </c>
      <c r="AL92" s="18">
        <f t="shared" si="24"/>
        <v>91</v>
      </c>
      <c r="AM92" s="18" t="e">
        <f t="shared" ca="1" si="22"/>
        <v>#REF!</v>
      </c>
      <c r="AN92" s="18">
        <f t="shared" ca="1" si="20"/>
        <v>17</v>
      </c>
      <c r="AO92" s="18" t="e">
        <f t="shared" ca="1" si="23"/>
        <v>#REF!</v>
      </c>
      <c r="AP92" s="18"/>
      <c r="AQ92" s="18"/>
      <c r="AR92" s="18"/>
      <c r="AT92" s="18" t="e">
        <f t="shared" ca="1" si="21"/>
        <v>#REF!</v>
      </c>
      <c r="AU92" s="198" t="str">
        <f t="shared" si="18"/>
        <v/>
      </c>
    </row>
    <row r="93" spans="1:47" ht="15" thickBot="1" x14ac:dyDescent="0.45">
      <c r="A93" s="203">
        <v>88</v>
      </c>
      <c r="B93" s="204" t="str">
        <f>IF(Coverage!$B93="","",Coverage!$B93)</f>
        <v/>
      </c>
      <c r="C93" s="34" t="str">
        <f t="shared" si="16"/>
        <v/>
      </c>
      <c r="D93" s="195" t="str">
        <f>Service_Numbers!AA93</f>
        <v/>
      </c>
      <c r="E93" s="195" t="str">
        <f>Service_Numbers!AB93</f>
        <v/>
      </c>
      <c r="F93" s="195" t="str">
        <f>Service_Numbers!AC93</f>
        <v/>
      </c>
      <c r="G93" s="195" t="str">
        <f>Service_Numbers!AD93</f>
        <v/>
      </c>
      <c r="H93" s="49">
        <f t="shared" si="17"/>
        <v>0</v>
      </c>
      <c r="I93" s="202">
        <f>IF('2. CHW Input'!$C$2&lt;&gt;"Policy",$H93*Service_Numbers!L93,IF('4. Policy Interactive Screen'!$D102&gt;0,$H93*Service_Numbers!L93,0))*'3. Intervention Details'!$H93</f>
        <v>0</v>
      </c>
      <c r="J93" s="202">
        <f>IF('2. CHW Input'!$C$2&lt;&gt;"Policy",$H93*Service_Numbers!M93,IF('4. Policy Interactive Screen'!$G102&gt;0,$H93*Service_Numbers!M93,0))*'3. Intervention Details'!$H93</f>
        <v>0</v>
      </c>
      <c r="K93" s="202">
        <f>IF('2. CHW Input'!$C$2&lt;&gt;"Policy",$H93*Service_Numbers!N93,IF('4. Policy Interactive Screen'!$J102&gt;0,$H93*Service_Numbers!N93,0))*'3. Intervention Details'!$H93</f>
        <v>0</v>
      </c>
      <c r="L93" s="202">
        <f>IF('2. CHW Input'!$C$2&lt;&gt;"Policy",$H93*Service_Numbers!O93,IF('4. Policy Interactive Screen'!$G102&gt;0,$H93*Service_Numbers!O93,0))*'3. Intervention Details'!$H93</f>
        <v>0</v>
      </c>
      <c r="AK93" s="18" t="str">
        <f t="shared" si="19"/>
        <v/>
      </c>
      <c r="AL93" s="18">
        <f t="shared" si="24"/>
        <v>92</v>
      </c>
      <c r="AM93" s="18" t="e">
        <f t="shared" ca="1" si="22"/>
        <v>#REF!</v>
      </c>
      <c r="AN93" s="18">
        <f t="shared" ca="1" si="20"/>
        <v>17</v>
      </c>
      <c r="AO93" s="18" t="e">
        <f t="shared" ca="1" si="23"/>
        <v>#REF!</v>
      </c>
      <c r="AP93" s="18"/>
      <c r="AQ93" s="18"/>
      <c r="AR93" s="18"/>
      <c r="AT93" s="18" t="e">
        <f t="shared" ca="1" si="21"/>
        <v>#REF!</v>
      </c>
      <c r="AU93" s="198" t="str">
        <f t="shared" si="18"/>
        <v/>
      </c>
    </row>
    <row r="94" spans="1:47" ht="15" thickBot="1" x14ac:dyDescent="0.45">
      <c r="A94" s="203">
        <v>89</v>
      </c>
      <c r="B94" s="204" t="str">
        <f>IF(Coverage!$B94="","",Coverage!$B94)</f>
        <v/>
      </c>
      <c r="C94" s="34" t="str">
        <f t="shared" si="16"/>
        <v/>
      </c>
      <c r="D94" s="195" t="str">
        <f>Service_Numbers!AA94</f>
        <v/>
      </c>
      <c r="E94" s="195" t="str">
        <f>Service_Numbers!AB94</f>
        <v/>
      </c>
      <c r="F94" s="195" t="str">
        <f>Service_Numbers!AC94</f>
        <v/>
      </c>
      <c r="G94" s="195" t="str">
        <f>Service_Numbers!AD94</f>
        <v/>
      </c>
      <c r="H94" s="49">
        <f t="shared" si="17"/>
        <v>0</v>
      </c>
      <c r="I94" s="202">
        <f>IF('2. CHW Input'!$C$2&lt;&gt;"Policy",$H94*Service_Numbers!L94,IF('4. Policy Interactive Screen'!$D103&gt;0,$H94*Service_Numbers!L94,0))*'3. Intervention Details'!$H94</f>
        <v>0</v>
      </c>
      <c r="J94" s="202">
        <f>IF('2. CHW Input'!$C$2&lt;&gt;"Policy",$H94*Service_Numbers!M94,IF('4. Policy Interactive Screen'!$G103&gt;0,$H94*Service_Numbers!M94,0))*'3. Intervention Details'!$H94</f>
        <v>0</v>
      </c>
      <c r="K94" s="202">
        <f>IF('2. CHW Input'!$C$2&lt;&gt;"Policy",$H94*Service_Numbers!N94,IF('4. Policy Interactive Screen'!$J103&gt;0,$H94*Service_Numbers!N94,0))*'3. Intervention Details'!$H94</f>
        <v>0</v>
      </c>
      <c r="L94" s="202">
        <f>IF('2. CHW Input'!$C$2&lt;&gt;"Policy",$H94*Service_Numbers!O94,IF('4. Policy Interactive Screen'!$G103&gt;0,$H94*Service_Numbers!O94,0))*'3. Intervention Details'!$H94</f>
        <v>0</v>
      </c>
      <c r="AK94" s="18" t="str">
        <f t="shared" si="19"/>
        <v/>
      </c>
      <c r="AL94" s="18">
        <f t="shared" si="24"/>
        <v>93</v>
      </c>
      <c r="AM94" s="18" t="e">
        <f t="shared" ca="1" si="22"/>
        <v>#REF!</v>
      </c>
      <c r="AN94" s="18">
        <f t="shared" ca="1" si="20"/>
        <v>17</v>
      </c>
      <c r="AO94" s="18" t="e">
        <f t="shared" ca="1" si="23"/>
        <v>#REF!</v>
      </c>
      <c r="AP94" s="18"/>
      <c r="AQ94" s="18"/>
      <c r="AR94" s="18"/>
      <c r="AT94" s="18" t="e">
        <f t="shared" ca="1" si="21"/>
        <v>#REF!</v>
      </c>
      <c r="AU94" s="198" t="str">
        <f t="shared" si="18"/>
        <v/>
      </c>
    </row>
    <row r="95" spans="1:47" ht="15" thickBot="1" x14ac:dyDescent="0.45">
      <c r="A95" s="203">
        <v>90</v>
      </c>
      <c r="B95" s="204" t="str">
        <f>IF(Coverage!$B105="","",Coverage!$B105)</f>
        <v/>
      </c>
      <c r="C95" s="34" t="str">
        <f t="shared" si="16"/>
        <v/>
      </c>
      <c r="D95" s="195" t="str">
        <f>Service_Numbers!AA95</f>
        <v/>
      </c>
      <c r="E95" s="195" t="str">
        <f>Service_Numbers!AB95</f>
        <v/>
      </c>
      <c r="F95" s="195" t="str">
        <f>Service_Numbers!AC95</f>
        <v/>
      </c>
      <c r="G95" s="195" t="str">
        <f>Service_Numbers!AD95</f>
        <v/>
      </c>
      <c r="H95" s="49">
        <f t="shared" si="17"/>
        <v>0</v>
      </c>
      <c r="I95" s="202">
        <f>IF('2. CHW Input'!$C$2&lt;&gt;"Policy",$H95*Service_Numbers!L95,IF('4. Policy Interactive Screen'!$D104&gt;0,$H95*Service_Numbers!L95,0))*'3. Intervention Details'!$H95</f>
        <v>0</v>
      </c>
      <c r="J95" s="202">
        <f>IF('2. CHW Input'!$C$2&lt;&gt;"Policy",$H95*Service_Numbers!M95,IF('4. Policy Interactive Screen'!$G104&gt;0,$H95*Service_Numbers!M95,0))*'3. Intervention Details'!$H95</f>
        <v>0</v>
      </c>
      <c r="K95" s="202">
        <f>IF('2. CHW Input'!$C$2&lt;&gt;"Policy",$H95*Service_Numbers!N95,IF('4. Policy Interactive Screen'!$J104&gt;0,$H95*Service_Numbers!N95,0))*'3. Intervention Details'!$H95</f>
        <v>0</v>
      </c>
      <c r="L95" s="202">
        <f>IF('2. CHW Input'!$C$2&lt;&gt;"Policy",$H95*Service_Numbers!O95,IF('4. Policy Interactive Screen'!$G104&gt;0,$H95*Service_Numbers!O95,0))*'3. Intervention Details'!$H95</f>
        <v>0</v>
      </c>
      <c r="AK95" s="18" t="str">
        <f t="shared" si="19"/>
        <v/>
      </c>
      <c r="AL95" s="18">
        <f t="shared" si="24"/>
        <v>94</v>
      </c>
      <c r="AM95" s="18" t="e">
        <f t="shared" ca="1" si="22"/>
        <v>#REF!</v>
      </c>
      <c r="AN95" s="18">
        <f t="shared" ca="1" si="20"/>
        <v>17</v>
      </c>
      <c r="AO95" s="18" t="e">
        <f t="shared" ca="1" si="23"/>
        <v>#REF!</v>
      </c>
      <c r="AP95" s="18"/>
      <c r="AQ95" s="18"/>
      <c r="AR95" s="18"/>
      <c r="AT95" s="18" t="e">
        <f t="shared" ca="1" si="21"/>
        <v>#REF!</v>
      </c>
      <c r="AU95" s="198" t="str">
        <f t="shared" si="18"/>
        <v/>
      </c>
    </row>
    <row r="96" spans="1:47" ht="15" thickBot="1" x14ac:dyDescent="0.45">
      <c r="A96" s="203">
        <v>91</v>
      </c>
      <c r="B96" s="204" t="str">
        <f>IF(Coverage!$B106="","",Coverage!$B106)</f>
        <v/>
      </c>
      <c r="C96" s="34" t="str">
        <f t="shared" si="16"/>
        <v/>
      </c>
      <c r="D96" s="195" t="str">
        <f>Service_Numbers!AA96</f>
        <v/>
      </c>
      <c r="E96" s="195" t="str">
        <f>Service_Numbers!AB96</f>
        <v/>
      </c>
      <c r="F96" s="195" t="str">
        <f>Service_Numbers!AC96</f>
        <v/>
      </c>
      <c r="G96" s="195" t="str">
        <f>Service_Numbers!AD96</f>
        <v/>
      </c>
      <c r="H96" s="49">
        <f t="shared" si="17"/>
        <v>0</v>
      </c>
      <c r="I96" s="202">
        <f>IF('2. CHW Input'!$C$2&lt;&gt;"Policy",$H96*Service_Numbers!L96,IF('4. Policy Interactive Screen'!$D105&gt;0,$H96*Service_Numbers!L96,0))*'3. Intervention Details'!$H96</f>
        <v>0</v>
      </c>
      <c r="J96" s="202">
        <f>IF('2. CHW Input'!$C$2&lt;&gt;"Policy",$H96*Service_Numbers!M96,IF('4. Policy Interactive Screen'!$G105&gt;0,$H96*Service_Numbers!M96,0))*'3. Intervention Details'!$H96</f>
        <v>0</v>
      </c>
      <c r="K96" s="202">
        <f>IF('2. CHW Input'!$C$2&lt;&gt;"Policy",$H96*Service_Numbers!N96,IF('4. Policy Interactive Screen'!$J105&gt;0,$H96*Service_Numbers!N96,0))*'3. Intervention Details'!$H96</f>
        <v>0</v>
      </c>
      <c r="L96" s="202">
        <f>IF('2. CHW Input'!$C$2&lt;&gt;"Policy",$H96*Service_Numbers!O96,IF('4. Policy Interactive Screen'!$G105&gt;0,$H96*Service_Numbers!O96,0))*'3. Intervention Details'!$H96</f>
        <v>0</v>
      </c>
      <c r="AK96" s="18" t="str">
        <f t="shared" si="19"/>
        <v/>
      </c>
      <c r="AL96" s="18">
        <f t="shared" si="24"/>
        <v>95</v>
      </c>
      <c r="AM96" s="18" t="e">
        <f t="shared" ca="1" si="22"/>
        <v>#REF!</v>
      </c>
      <c r="AN96" s="18">
        <f t="shared" ca="1" si="20"/>
        <v>17</v>
      </c>
      <c r="AO96" s="18" t="e">
        <f t="shared" ca="1" si="23"/>
        <v>#REF!</v>
      </c>
      <c r="AP96" s="18"/>
      <c r="AQ96" s="18"/>
      <c r="AR96" s="18"/>
      <c r="AT96" s="18" t="e">
        <f t="shared" ca="1" si="21"/>
        <v>#REF!</v>
      </c>
      <c r="AU96" s="198" t="str">
        <f t="shared" si="18"/>
        <v/>
      </c>
    </row>
    <row r="97" spans="1:47" ht="15" thickBot="1" x14ac:dyDescent="0.45">
      <c r="A97" s="203">
        <v>92</v>
      </c>
      <c r="B97" s="204" t="str">
        <f>IF(Coverage!$B107="","",Coverage!$B107)</f>
        <v/>
      </c>
      <c r="C97" s="34" t="str">
        <f t="shared" si="16"/>
        <v/>
      </c>
      <c r="D97" s="195" t="str">
        <f>Service_Numbers!AA97</f>
        <v/>
      </c>
      <c r="E97" s="195" t="str">
        <f>Service_Numbers!AB97</f>
        <v/>
      </c>
      <c r="F97" s="195" t="str">
        <f>Service_Numbers!AC97</f>
        <v/>
      </c>
      <c r="G97" s="195" t="str">
        <f>Service_Numbers!AD97</f>
        <v/>
      </c>
      <c r="H97" s="49">
        <f t="shared" si="17"/>
        <v>0</v>
      </c>
      <c r="I97" s="202">
        <f>IF('2. CHW Input'!$C$2&lt;&gt;"Policy",$H97*Service_Numbers!L97,IF('4. Policy Interactive Screen'!$D106&gt;0,$H97*Service_Numbers!L97,0))*'3. Intervention Details'!$H97</f>
        <v>0</v>
      </c>
      <c r="J97" s="202">
        <f>IF('2. CHW Input'!$C$2&lt;&gt;"Policy",$H97*Service_Numbers!M97,IF('4. Policy Interactive Screen'!$G106&gt;0,$H97*Service_Numbers!M97,0))*'3. Intervention Details'!$H97</f>
        <v>0</v>
      </c>
      <c r="K97" s="202">
        <f>IF('2. CHW Input'!$C$2&lt;&gt;"Policy",$H97*Service_Numbers!N97,IF('4. Policy Interactive Screen'!$J106&gt;0,$H97*Service_Numbers!N97,0))*'3. Intervention Details'!$H97</f>
        <v>0</v>
      </c>
      <c r="L97" s="202">
        <f>IF('2. CHW Input'!$C$2&lt;&gt;"Policy",$H97*Service_Numbers!O97,IF('4. Policy Interactive Screen'!$G106&gt;0,$H97*Service_Numbers!O97,0))*'3. Intervention Details'!$H97</f>
        <v>0</v>
      </c>
      <c r="AK97" s="18" t="str">
        <f t="shared" si="19"/>
        <v/>
      </c>
      <c r="AL97" s="18">
        <f t="shared" si="24"/>
        <v>96</v>
      </c>
      <c r="AM97" s="18" t="e">
        <f t="shared" ca="1" si="22"/>
        <v>#REF!</v>
      </c>
      <c r="AN97" s="18">
        <f t="shared" ca="1" si="20"/>
        <v>17</v>
      </c>
      <c r="AO97" s="18" t="e">
        <f t="shared" ca="1" si="23"/>
        <v>#REF!</v>
      </c>
      <c r="AP97" s="18"/>
      <c r="AQ97" s="18"/>
      <c r="AR97" s="18"/>
      <c r="AT97" s="18" t="e">
        <f t="shared" ca="1" si="21"/>
        <v>#REF!</v>
      </c>
      <c r="AU97" s="198" t="str">
        <f t="shared" si="18"/>
        <v/>
      </c>
    </row>
    <row r="98" spans="1:47" ht="15" thickBot="1" x14ac:dyDescent="0.45">
      <c r="A98" s="203">
        <v>93</v>
      </c>
      <c r="B98" s="204" t="str">
        <f>IF(Coverage!$B108="","",Coverage!$B108)</f>
        <v/>
      </c>
      <c r="C98" s="34" t="str">
        <f t="shared" si="16"/>
        <v/>
      </c>
      <c r="D98" s="195" t="str">
        <f>Service_Numbers!AA98</f>
        <v/>
      </c>
      <c r="E98" s="195" t="str">
        <f>Service_Numbers!AB98</f>
        <v/>
      </c>
      <c r="F98" s="195" t="str">
        <f>Service_Numbers!AC98</f>
        <v/>
      </c>
      <c r="G98" s="195" t="str">
        <f>Service_Numbers!AD98</f>
        <v/>
      </c>
      <c r="H98" s="49">
        <f t="shared" si="17"/>
        <v>0</v>
      </c>
      <c r="I98" s="202">
        <f>IF('2. CHW Input'!$C$2&lt;&gt;"Policy",$H98*Service_Numbers!L98,IF('4. Policy Interactive Screen'!$D107&gt;0,$H98*Service_Numbers!L98,0))*'3. Intervention Details'!$H98</f>
        <v>0</v>
      </c>
      <c r="J98" s="202">
        <f>IF('2. CHW Input'!$C$2&lt;&gt;"Policy",$H98*Service_Numbers!M98,IF('4. Policy Interactive Screen'!$G107&gt;0,$H98*Service_Numbers!M98,0))*'3. Intervention Details'!$H98</f>
        <v>0</v>
      </c>
      <c r="K98" s="202">
        <f>IF('2. CHW Input'!$C$2&lt;&gt;"Policy",$H98*Service_Numbers!N98,IF('4. Policy Interactive Screen'!$J107&gt;0,$H98*Service_Numbers!N98,0))*'3. Intervention Details'!$H98</f>
        <v>0</v>
      </c>
      <c r="L98" s="202">
        <f>IF('2. CHW Input'!$C$2&lt;&gt;"Policy",$H98*Service_Numbers!O98,IF('4. Policy Interactive Screen'!$G107&gt;0,$H98*Service_Numbers!O98,0))*'3. Intervention Details'!$H98</f>
        <v>0</v>
      </c>
      <c r="AK98" s="18" t="str">
        <f t="shared" si="19"/>
        <v/>
      </c>
      <c r="AL98" s="18">
        <f t="shared" si="24"/>
        <v>97</v>
      </c>
      <c r="AM98" s="18" t="e">
        <f t="shared" ca="1" si="22"/>
        <v>#REF!</v>
      </c>
      <c r="AN98" s="18">
        <f t="shared" ca="1" si="20"/>
        <v>17</v>
      </c>
      <c r="AO98" s="18" t="e">
        <f t="shared" ca="1" si="23"/>
        <v>#REF!</v>
      </c>
      <c r="AP98" s="18"/>
      <c r="AQ98" s="18"/>
      <c r="AR98" s="18"/>
      <c r="AT98" s="18" t="e">
        <f t="shared" ca="1" si="21"/>
        <v>#REF!</v>
      </c>
      <c r="AU98" s="198" t="str">
        <f t="shared" si="18"/>
        <v/>
      </c>
    </row>
    <row r="99" spans="1:47" ht="15" thickBot="1" x14ac:dyDescent="0.45">
      <c r="A99" s="203">
        <v>94</v>
      </c>
      <c r="B99" s="204" t="str">
        <f>IF(Coverage!$B109="","",Coverage!$B109)</f>
        <v/>
      </c>
      <c r="C99" s="34" t="str">
        <f t="shared" si="16"/>
        <v/>
      </c>
      <c r="D99" s="195" t="str">
        <f>Service_Numbers!AA99</f>
        <v/>
      </c>
      <c r="E99" s="195" t="str">
        <f>Service_Numbers!AB99</f>
        <v/>
      </c>
      <c r="F99" s="195" t="str">
        <f>Service_Numbers!AC99</f>
        <v/>
      </c>
      <c r="G99" s="195" t="str">
        <f>Service_Numbers!AD99</f>
        <v/>
      </c>
      <c r="H99" s="49">
        <f t="shared" si="17"/>
        <v>0</v>
      </c>
      <c r="I99" s="202">
        <f>IF('2. CHW Input'!$C$2&lt;&gt;"Policy",$H99*Service_Numbers!L99,IF('4. Policy Interactive Screen'!$D108&gt;0,$H99*Service_Numbers!L99,0))*'3. Intervention Details'!$H99</f>
        <v>0</v>
      </c>
      <c r="J99" s="202">
        <f>IF('2. CHW Input'!$C$2&lt;&gt;"Policy",$H99*Service_Numbers!M99,IF('4. Policy Interactive Screen'!$G108&gt;0,$H99*Service_Numbers!M99,0))*'3. Intervention Details'!$H99</f>
        <v>0</v>
      </c>
      <c r="K99" s="202">
        <f>IF('2. CHW Input'!$C$2&lt;&gt;"Policy",$H99*Service_Numbers!N99,IF('4. Policy Interactive Screen'!$J108&gt;0,$H99*Service_Numbers!N99,0))*'3. Intervention Details'!$H99</f>
        <v>0</v>
      </c>
      <c r="L99" s="202">
        <f>IF('2. CHW Input'!$C$2&lt;&gt;"Policy",$H99*Service_Numbers!O99,IF('4. Policy Interactive Screen'!$G108&gt;0,$H99*Service_Numbers!O99,0))*'3. Intervention Details'!$H99</f>
        <v>0</v>
      </c>
      <c r="AK99" s="18" t="str">
        <f t="shared" si="19"/>
        <v/>
      </c>
      <c r="AL99" s="18">
        <f t="shared" si="24"/>
        <v>98</v>
      </c>
      <c r="AM99" s="18" t="e">
        <f t="shared" ca="1" si="22"/>
        <v>#REF!</v>
      </c>
      <c r="AN99" s="18">
        <f t="shared" ca="1" si="20"/>
        <v>17</v>
      </c>
      <c r="AO99" s="18" t="e">
        <f t="shared" ca="1" si="23"/>
        <v>#REF!</v>
      </c>
      <c r="AP99" s="18"/>
      <c r="AQ99" s="18"/>
      <c r="AR99" s="18"/>
      <c r="AT99" s="18" t="e">
        <f t="shared" ca="1" si="21"/>
        <v>#REF!</v>
      </c>
      <c r="AU99" s="198" t="str">
        <f t="shared" si="18"/>
        <v/>
      </c>
    </row>
    <row r="100" spans="1:47" ht="15" thickBot="1" x14ac:dyDescent="0.45">
      <c r="A100" s="203">
        <v>95</v>
      </c>
      <c r="B100" s="204" t="str">
        <f>IF(Coverage!$B110="","",Coverage!$B110)</f>
        <v/>
      </c>
      <c r="C100" s="34" t="str">
        <f t="shared" si="16"/>
        <v/>
      </c>
      <c r="D100" s="195" t="str">
        <f>Service_Numbers!AA100</f>
        <v/>
      </c>
      <c r="E100" s="195" t="str">
        <f>Service_Numbers!AB100</f>
        <v/>
      </c>
      <c r="F100" s="195" t="str">
        <f>Service_Numbers!AC100</f>
        <v/>
      </c>
      <c r="G100" s="195" t="str">
        <f>Service_Numbers!AD100</f>
        <v/>
      </c>
      <c r="H100" s="49">
        <f t="shared" si="17"/>
        <v>0</v>
      </c>
      <c r="I100" s="202">
        <f>IF('2. CHW Input'!$C$2&lt;&gt;"Policy",$H100*Service_Numbers!L100,IF('4. Policy Interactive Screen'!$D109&gt;0,$H100*Service_Numbers!L100,0))*'3. Intervention Details'!$H100</f>
        <v>0</v>
      </c>
      <c r="J100" s="202">
        <f>IF('2. CHW Input'!$C$2&lt;&gt;"Policy",$H100*Service_Numbers!M100,IF('4. Policy Interactive Screen'!$G109&gt;0,$H100*Service_Numbers!M100,0))*'3. Intervention Details'!$H100</f>
        <v>0</v>
      </c>
      <c r="K100" s="202">
        <f>IF('2. CHW Input'!$C$2&lt;&gt;"Policy",$H100*Service_Numbers!N100,IF('4. Policy Interactive Screen'!$J109&gt;0,$H100*Service_Numbers!N100,0))*'3. Intervention Details'!$H100</f>
        <v>0</v>
      </c>
      <c r="L100" s="202">
        <f>IF('2. CHW Input'!$C$2&lt;&gt;"Policy",$H100*Service_Numbers!O100,IF('4. Policy Interactive Screen'!$G109&gt;0,$H100*Service_Numbers!O100,0))*'3. Intervention Details'!$H100</f>
        <v>0</v>
      </c>
      <c r="AK100" s="18" t="str">
        <f t="shared" si="19"/>
        <v/>
      </c>
      <c r="AL100" s="18">
        <f t="shared" si="24"/>
        <v>99</v>
      </c>
      <c r="AM100" s="18" t="e">
        <f t="shared" ca="1" si="22"/>
        <v>#REF!</v>
      </c>
      <c r="AN100" s="18">
        <f t="shared" ca="1" si="20"/>
        <v>17</v>
      </c>
      <c r="AO100" s="18" t="e">
        <f t="shared" ca="1" si="23"/>
        <v>#REF!</v>
      </c>
      <c r="AP100" s="18"/>
      <c r="AQ100" s="18"/>
      <c r="AR100" s="18"/>
      <c r="AT100" s="18" t="e">
        <f t="shared" ca="1" si="21"/>
        <v>#REF!</v>
      </c>
      <c r="AU100" s="198" t="str">
        <f t="shared" si="18"/>
        <v/>
      </c>
    </row>
    <row r="101" spans="1:47" ht="15" thickBot="1" x14ac:dyDescent="0.45">
      <c r="A101" s="203">
        <v>96</v>
      </c>
      <c r="B101" s="204" t="str">
        <f>IF(Coverage!$B111="","",Coverage!$B111)</f>
        <v/>
      </c>
      <c r="C101" s="34" t="str">
        <f t="shared" si="16"/>
        <v/>
      </c>
      <c r="D101" s="195" t="str">
        <f>Service_Numbers!AA101</f>
        <v/>
      </c>
      <c r="E101" s="195" t="str">
        <f>Service_Numbers!AB101</f>
        <v/>
      </c>
      <c r="F101" s="195" t="str">
        <f>Service_Numbers!AC101</f>
        <v/>
      </c>
      <c r="G101" s="195" t="str">
        <f>Service_Numbers!AD101</f>
        <v/>
      </c>
      <c r="H101" s="49">
        <f t="shared" si="17"/>
        <v>0</v>
      </c>
      <c r="I101" s="202">
        <f>IF('2. CHW Input'!$C$2&lt;&gt;"Policy",$H101*Service_Numbers!L101,IF('4. Policy Interactive Screen'!$D110&gt;0,$H101*Service_Numbers!L101,0))*'3. Intervention Details'!$H101</f>
        <v>0</v>
      </c>
      <c r="J101" s="202">
        <f>IF('2. CHW Input'!$C$2&lt;&gt;"Policy",$H101*Service_Numbers!M101,IF('4. Policy Interactive Screen'!$G110&gt;0,$H101*Service_Numbers!M101,0))*'3. Intervention Details'!$H101</f>
        <v>0</v>
      </c>
      <c r="K101" s="202">
        <f>IF('2. CHW Input'!$C$2&lt;&gt;"Policy",$H101*Service_Numbers!N101,IF('4. Policy Interactive Screen'!$J110&gt;0,$H101*Service_Numbers!N101,0))*'3. Intervention Details'!$H101</f>
        <v>0</v>
      </c>
      <c r="L101" s="202">
        <f>IF('2. CHW Input'!$C$2&lt;&gt;"Policy",$H101*Service_Numbers!O101,IF('4. Policy Interactive Screen'!$G110&gt;0,$H101*Service_Numbers!O101,0))*'3. Intervention Details'!$H101</f>
        <v>0</v>
      </c>
      <c r="AK101" s="18" t="str">
        <f t="shared" si="19"/>
        <v/>
      </c>
      <c r="AL101" s="18">
        <f t="shared" si="24"/>
        <v>100</v>
      </c>
      <c r="AM101" s="18" t="e">
        <f t="shared" ca="1" si="22"/>
        <v>#REF!</v>
      </c>
      <c r="AN101" s="18">
        <f t="shared" ca="1" si="20"/>
        <v>17</v>
      </c>
      <c r="AO101" s="18" t="e">
        <f t="shared" ca="1" si="23"/>
        <v>#REF!</v>
      </c>
      <c r="AP101" s="18"/>
      <c r="AQ101" s="18"/>
      <c r="AR101" s="18"/>
      <c r="AT101" s="18" t="e">
        <f t="shared" ca="1" si="21"/>
        <v>#REF!</v>
      </c>
      <c r="AU101" s="198" t="str">
        <f t="shared" si="18"/>
        <v/>
      </c>
    </row>
    <row r="102" spans="1:47" ht="15" thickBot="1" x14ac:dyDescent="0.45">
      <c r="A102" s="203">
        <v>97</v>
      </c>
      <c r="B102" s="204" t="str">
        <f>IF(Coverage!$B112="","",Coverage!$B112)</f>
        <v/>
      </c>
      <c r="C102" s="34" t="str">
        <f>IFERROR((VLOOKUP(B102,lookup_masterlist,C$1,FALSE)),"")</f>
        <v/>
      </c>
      <c r="D102" s="195" t="str">
        <f>Service_Numbers!AA102</f>
        <v/>
      </c>
      <c r="E102" s="195" t="str">
        <f>Service_Numbers!AB102</f>
        <v/>
      </c>
      <c r="F102" s="195" t="str">
        <f>Service_Numbers!AC102</f>
        <v/>
      </c>
      <c r="G102" s="195" t="str">
        <f>Service_Numbers!AD102</f>
        <v/>
      </c>
      <c r="H102" s="49">
        <f t="shared" si="17"/>
        <v>0</v>
      </c>
      <c r="I102" s="202">
        <f>IF('2. CHW Input'!$C$2&lt;&gt;"Policy",$H102*Service_Numbers!L102,IF('4. Policy Interactive Screen'!$D111&gt;0,$H102*Service_Numbers!L102,0))*'3. Intervention Details'!$H102</f>
        <v>0</v>
      </c>
      <c r="J102" s="202">
        <f>IF('2. CHW Input'!$C$2&lt;&gt;"Policy",$H102*Service_Numbers!M102,IF('4. Policy Interactive Screen'!$G111&gt;0,$H102*Service_Numbers!M102,0))*'3. Intervention Details'!$H102</f>
        <v>0</v>
      </c>
      <c r="K102" s="202">
        <f>IF('2. CHW Input'!$C$2&lt;&gt;"Policy",$H102*Service_Numbers!N102,IF('4. Policy Interactive Screen'!$J111&gt;0,$H102*Service_Numbers!N102,0))*'3. Intervention Details'!$H102</f>
        <v>0</v>
      </c>
      <c r="L102" s="202">
        <f>IF('2. CHW Input'!$C$2&lt;&gt;"Policy",$H102*Service_Numbers!O102,IF('4. Policy Interactive Screen'!$G111&gt;0,$H102*Service_Numbers!O102,0))*'3. Intervention Details'!$H102</f>
        <v>0</v>
      </c>
      <c r="AK102" s="18" t="str">
        <f t="shared" si="19"/>
        <v/>
      </c>
      <c r="AL102" s="18">
        <f t="shared" si="24"/>
        <v>101</v>
      </c>
      <c r="AM102" s="18" t="e">
        <f t="shared" ca="1" si="22"/>
        <v>#REF!</v>
      </c>
      <c r="AN102" s="18">
        <f t="shared" ca="1" si="20"/>
        <v>17</v>
      </c>
      <c r="AO102" s="18" t="e">
        <f t="shared" ca="1" si="23"/>
        <v>#REF!</v>
      </c>
      <c r="AP102" s="18"/>
      <c r="AQ102" s="18"/>
      <c r="AR102" s="18"/>
      <c r="AT102" s="18" t="e">
        <f t="shared" ca="1" si="21"/>
        <v>#REF!</v>
      </c>
      <c r="AU102" s="198" t="str">
        <f t="shared" si="18"/>
        <v/>
      </c>
    </row>
    <row r="103" spans="1:47" ht="15" thickBot="1" x14ac:dyDescent="0.45">
      <c r="A103" s="203">
        <v>98</v>
      </c>
      <c r="B103" s="204" t="str">
        <f>IF(Coverage!$B113="","",Coverage!$B113)</f>
        <v/>
      </c>
      <c r="C103" s="34" t="str">
        <f>IFERROR((VLOOKUP(B103,lookup_masterlist,C$1,FALSE)),"")</f>
        <v/>
      </c>
      <c r="D103" s="195" t="str">
        <f>Service_Numbers!AA103</f>
        <v/>
      </c>
      <c r="E103" s="195" t="str">
        <f>Service_Numbers!AB103</f>
        <v/>
      </c>
      <c r="F103" s="195" t="str">
        <f>Service_Numbers!AC103</f>
        <v/>
      </c>
      <c r="G103" s="195" t="str">
        <f>Service_Numbers!AD103</f>
        <v/>
      </c>
      <c r="H103" s="49">
        <f t="shared" si="17"/>
        <v>0</v>
      </c>
      <c r="I103" s="202">
        <f>IF('2. CHW Input'!$C$2&lt;&gt;"Policy",$H103*Service_Numbers!L103,IF('4. Policy Interactive Screen'!$D112&gt;0,$H103*Service_Numbers!L103,0))*'3. Intervention Details'!$H103</f>
        <v>0</v>
      </c>
      <c r="J103" s="202">
        <f>IF('2. CHW Input'!$C$2&lt;&gt;"Policy",$H103*Service_Numbers!M103,IF('4. Policy Interactive Screen'!$G112&gt;0,$H103*Service_Numbers!M103,0))*'3. Intervention Details'!$H103</f>
        <v>0</v>
      </c>
      <c r="K103" s="202">
        <f>IF('2. CHW Input'!$C$2&lt;&gt;"Policy",$H103*Service_Numbers!N103,IF('4. Policy Interactive Screen'!$J112&gt;0,$H103*Service_Numbers!N103,0))*'3. Intervention Details'!$H103</f>
        <v>0</v>
      </c>
      <c r="L103" s="202">
        <f>IF('2. CHW Input'!$C$2&lt;&gt;"Policy",$H103*Service_Numbers!O103,IF('4. Policy Interactive Screen'!$G112&gt;0,$H103*Service_Numbers!O103,0))*'3. Intervention Details'!$H103</f>
        <v>0</v>
      </c>
      <c r="AK103" s="18" t="str">
        <f t="shared" ref="AK103:AK113" si="25">B102</f>
        <v/>
      </c>
      <c r="AL103" s="18">
        <f t="shared" si="24"/>
        <v>102</v>
      </c>
      <c r="AM103" s="18" t="e">
        <f t="shared" ca="1" si="22"/>
        <v>#REF!</v>
      </c>
      <c r="AN103" s="18">
        <f t="shared" ca="1" si="20"/>
        <v>17</v>
      </c>
      <c r="AO103" s="18" t="e">
        <f t="shared" ca="1" si="23"/>
        <v>#REF!</v>
      </c>
      <c r="AP103" s="18"/>
      <c r="AQ103" s="18"/>
      <c r="AR103" s="18"/>
      <c r="AT103" s="18" t="e">
        <f t="shared" ca="1" si="21"/>
        <v>#REF!</v>
      </c>
      <c r="AU103" s="198" t="str">
        <f t="shared" si="18"/>
        <v/>
      </c>
    </row>
    <row r="104" spans="1:47" ht="15" thickBot="1" x14ac:dyDescent="0.45">
      <c r="A104" s="203">
        <v>99</v>
      </c>
      <c r="B104" s="204" t="str">
        <f>IF(Coverage!$B114="","",Coverage!$B114)</f>
        <v/>
      </c>
      <c r="C104" s="34" t="str">
        <f>IFERROR((VLOOKUP(B104,lookup_masterlist,C$1,FALSE)),"")</f>
        <v/>
      </c>
      <c r="D104" s="195" t="str">
        <f>Service_Numbers!AA104</f>
        <v/>
      </c>
      <c r="E104" s="195" t="str">
        <f>Service_Numbers!AB104</f>
        <v/>
      </c>
      <c r="F104" s="195" t="str">
        <f>Service_Numbers!AC104</f>
        <v/>
      </c>
      <c r="G104" s="195" t="str">
        <f>Service_Numbers!AD104</f>
        <v/>
      </c>
      <c r="H104" s="49">
        <f t="shared" si="17"/>
        <v>0</v>
      </c>
      <c r="I104" s="202">
        <f>IF('2. CHW Input'!$C$2&lt;&gt;"Policy",$H104*Service_Numbers!L104,IF('4. Policy Interactive Screen'!$D113&gt;0,$H104*Service_Numbers!L104,0))*'3. Intervention Details'!$H104</f>
        <v>0</v>
      </c>
      <c r="J104" s="202">
        <f>IF('2. CHW Input'!$C$2&lt;&gt;"Policy",$H104*Service_Numbers!M104,IF('4. Policy Interactive Screen'!$G113&gt;0,$H104*Service_Numbers!M104,0))*'3. Intervention Details'!$H104</f>
        <v>0</v>
      </c>
      <c r="K104" s="202">
        <f>IF('2. CHW Input'!$C$2&lt;&gt;"Policy",$H104*Service_Numbers!N104,IF('4. Policy Interactive Screen'!$J113&gt;0,$H104*Service_Numbers!N104,0))*'3. Intervention Details'!$H104</f>
        <v>0</v>
      </c>
      <c r="L104" s="202">
        <f>IF('2. CHW Input'!$C$2&lt;&gt;"Policy",$H104*Service_Numbers!O104,IF('4. Policy Interactive Screen'!$G113&gt;0,$H104*Service_Numbers!O104,0))*'3. Intervention Details'!$H104</f>
        <v>0</v>
      </c>
      <c r="AK104" s="18" t="str">
        <f t="shared" si="25"/>
        <v/>
      </c>
      <c r="AL104" s="18">
        <f t="shared" si="24"/>
        <v>103</v>
      </c>
      <c r="AM104" s="18" t="e">
        <f t="shared" ca="1" si="22"/>
        <v>#REF!</v>
      </c>
      <c r="AN104" s="18">
        <f t="shared" ca="1" si="20"/>
        <v>17</v>
      </c>
      <c r="AO104" s="18" t="e">
        <f t="shared" ca="1" si="23"/>
        <v>#REF!</v>
      </c>
      <c r="AP104" s="18"/>
      <c r="AQ104" s="18"/>
      <c r="AR104" s="18"/>
      <c r="AT104" s="18" t="e">
        <f t="shared" ca="1" si="21"/>
        <v>#REF!</v>
      </c>
      <c r="AU104" s="198" t="str">
        <f t="shared" si="18"/>
        <v/>
      </c>
    </row>
    <row r="105" spans="1:47" ht="15" thickBot="1" x14ac:dyDescent="0.45">
      <c r="A105" s="203">
        <v>100</v>
      </c>
      <c r="B105" s="205" t="str">
        <f>IF(Coverage!$B115="","",Coverage!$B115)</f>
        <v/>
      </c>
      <c r="C105" s="206" t="str">
        <f>IFERROR((VLOOKUP(B105,lookup_masterlist,C$1,FALSE)),"")</f>
        <v/>
      </c>
      <c r="D105" s="195" t="str">
        <f>Service_Numbers!AA105</f>
        <v/>
      </c>
      <c r="E105" s="195" t="str">
        <f>Service_Numbers!AB105</f>
        <v/>
      </c>
      <c r="F105" s="195" t="str">
        <f>Service_Numbers!AC105</f>
        <v/>
      </c>
      <c r="G105" s="195" t="str">
        <f>Service_Numbers!AD105</f>
        <v/>
      </c>
      <c r="H105" s="207">
        <f t="shared" si="17"/>
        <v>0</v>
      </c>
      <c r="I105" s="202">
        <f>IF('2. CHW Input'!$C$2&lt;&gt;"Policy",$H105*Service_Numbers!L105,IF('4. Policy Interactive Screen'!$D114&gt;0,$H105*Service_Numbers!L105,0))*'3. Intervention Details'!$H105</f>
        <v>0</v>
      </c>
      <c r="J105" s="202">
        <f>IF('2. CHW Input'!$C$2&lt;&gt;"Policy",$H105*Service_Numbers!M105,IF('4. Policy Interactive Screen'!$G114&gt;0,$H105*Service_Numbers!M105,0))*'3. Intervention Details'!$H105</f>
        <v>0</v>
      </c>
      <c r="K105" s="202">
        <f>IF('2. CHW Input'!$C$2&lt;&gt;"Policy",$H105*Service_Numbers!N105,IF('4. Policy Interactive Screen'!$J114&gt;0,$H105*Service_Numbers!N105,0))*'3. Intervention Details'!$H105</f>
        <v>0</v>
      </c>
      <c r="L105" s="202">
        <f>IF('2. CHW Input'!$C$2&lt;&gt;"Policy",$H105*Service_Numbers!O105,IF('4. Policy Interactive Screen'!$G114&gt;0,$H105*Service_Numbers!O105,0))*'3. Intervention Details'!$H105</f>
        <v>0</v>
      </c>
      <c r="AK105" s="18" t="str">
        <f t="shared" si="25"/>
        <v/>
      </c>
      <c r="AL105" s="18">
        <f t="shared" si="24"/>
        <v>104</v>
      </c>
      <c r="AM105" s="18" t="e">
        <f t="shared" ca="1" si="22"/>
        <v>#REF!</v>
      </c>
      <c r="AN105" s="18">
        <f t="shared" ca="1" si="20"/>
        <v>17</v>
      </c>
      <c r="AO105" s="18" t="e">
        <f t="shared" ca="1" si="23"/>
        <v>#REF!</v>
      </c>
      <c r="AP105" s="18"/>
      <c r="AQ105" s="18"/>
      <c r="AR105" s="18"/>
      <c r="AT105" s="18" t="e">
        <f t="shared" ca="1" si="21"/>
        <v>#REF!</v>
      </c>
      <c r="AU105" s="198" t="str">
        <f t="shared" si="18"/>
        <v/>
      </c>
    </row>
    <row r="106" spans="1:47" x14ac:dyDescent="0.4">
      <c r="AK106" s="18" t="str">
        <f t="shared" si="25"/>
        <v/>
      </c>
      <c r="AL106" s="18">
        <f t="shared" si="24"/>
        <v>105</v>
      </c>
      <c r="AM106" s="18" t="e">
        <f t="shared" ca="1" si="22"/>
        <v>#REF!</v>
      </c>
      <c r="AN106" s="18">
        <f t="shared" ca="1" si="20"/>
        <v>17</v>
      </c>
      <c r="AO106" s="18" t="e">
        <f t="shared" ca="1" si="23"/>
        <v>#REF!</v>
      </c>
    </row>
    <row r="107" spans="1:47" x14ac:dyDescent="0.4">
      <c r="AK107" s="18">
        <f t="shared" si="25"/>
        <v>0</v>
      </c>
    </row>
    <row r="108" spans="1:47" x14ac:dyDescent="0.4">
      <c r="AK108" s="18">
        <f t="shared" si="25"/>
        <v>0</v>
      </c>
    </row>
    <row r="109" spans="1:47" x14ac:dyDescent="0.4">
      <c r="AK109" s="18">
        <f t="shared" si="25"/>
        <v>0</v>
      </c>
    </row>
    <row r="110" spans="1:47" x14ac:dyDescent="0.4">
      <c r="AK110" s="18">
        <f t="shared" si="25"/>
        <v>0</v>
      </c>
    </row>
    <row r="111" spans="1:47" x14ac:dyDescent="0.4">
      <c r="AK111" s="18">
        <f t="shared" si="25"/>
        <v>0</v>
      </c>
    </row>
    <row r="112" spans="1:47" x14ac:dyDescent="0.4">
      <c r="AK112" s="18">
        <f t="shared" si="25"/>
        <v>0</v>
      </c>
    </row>
    <row r="113" spans="37:37" x14ac:dyDescent="0.4">
      <c r="AK113" s="18">
        <f t="shared" si="25"/>
        <v>0</v>
      </c>
    </row>
  </sheetData>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2">
    <tabColor theme="8" tint="-0.249977111117893"/>
  </sheetPr>
  <dimension ref="A1:S137"/>
  <sheetViews>
    <sheetView topLeftCell="A45" zoomScale="90" zoomScaleNormal="90" workbookViewId="0">
      <selection activeCell="C22" sqref="C22"/>
    </sheetView>
  </sheetViews>
  <sheetFormatPr defaultColWidth="8.84375" defaultRowHeight="14.6" x14ac:dyDescent="0.4"/>
  <cols>
    <col min="1" max="1" width="4.3046875" customWidth="1"/>
    <col min="2" max="2" width="30.69140625" style="2" customWidth="1"/>
    <col min="3" max="3" width="13.69140625" customWidth="1"/>
    <col min="4" max="4" width="12.69140625" customWidth="1"/>
    <col min="5" max="6" width="12.4609375" customWidth="1"/>
  </cols>
  <sheetData>
    <row r="1" spans="1:19" s="142" customFormat="1" x14ac:dyDescent="0.4">
      <c r="A1" s="141" t="s">
        <v>108</v>
      </c>
      <c r="B1" s="141"/>
      <c r="C1" s="141"/>
      <c r="D1" s="141"/>
      <c r="E1" s="141"/>
      <c r="F1" s="141"/>
      <c r="G1" s="141"/>
      <c r="H1" s="141"/>
      <c r="I1" s="141"/>
      <c r="J1" s="141"/>
      <c r="K1" s="141"/>
      <c r="L1" s="141"/>
      <c r="M1" s="141"/>
      <c r="N1" s="141"/>
      <c r="O1" s="141"/>
      <c r="P1" s="141"/>
      <c r="Q1" s="141"/>
      <c r="R1" s="141"/>
      <c r="S1" s="141"/>
    </row>
    <row r="2" spans="1:19" s="146" customFormat="1" x14ac:dyDescent="0.4">
      <c r="A2" s="143">
        <f>IF(subnational="Y",subnational_name&amp;", "&amp;selected_country,selected_country)</f>
        <v>0</v>
      </c>
      <c r="B2" s="144"/>
      <c r="C2" s="145"/>
    </row>
    <row r="3" spans="1:19" ht="15" thickBot="1" x14ac:dyDescent="0.45">
      <c r="A3" s="1"/>
      <c r="C3" s="147"/>
      <c r="D3" s="147"/>
      <c r="E3" s="147"/>
      <c r="F3" s="147"/>
    </row>
    <row r="4" spans="1:19" ht="15" thickBot="1" x14ac:dyDescent="0.45">
      <c r="B4" s="148"/>
      <c r="C4" s="5">
        <f>baseline_year</f>
        <v>0</v>
      </c>
      <c r="D4" s="6">
        <f>baseline_year+1</f>
        <v>1</v>
      </c>
      <c r="E4" s="6">
        <f t="shared" ref="E4:F4" si="0">D4+1</f>
        <v>2</v>
      </c>
      <c r="F4" s="6">
        <f t="shared" si="0"/>
        <v>3</v>
      </c>
    </row>
    <row r="5" spans="1:19" ht="15" thickBot="1" x14ac:dyDescent="0.45">
      <c r="C5" s="8"/>
      <c r="D5" s="9"/>
      <c r="E5" s="9"/>
      <c r="F5" s="9"/>
    </row>
    <row r="6" spans="1:19" ht="15" thickBot="1" x14ac:dyDescent="0.45">
      <c r="A6" s="149"/>
      <c r="B6" s="150">
        <f>_chw1</f>
        <v>0</v>
      </c>
      <c r="C6" s="151" t="str">
        <f>'2. CHW Input'!C12</f>
        <v>Rural</v>
      </c>
      <c r="D6" s="151"/>
      <c r="E6" s="151"/>
      <c r="F6" s="151"/>
    </row>
    <row r="7" spans="1:19" x14ac:dyDescent="0.4">
      <c r="A7" s="149"/>
      <c r="B7" s="152" t="s">
        <v>41</v>
      </c>
      <c r="C7" s="153">
        <f>IF(urban_rural="N",'Program_Scale-up'!C$19,IF($C6="Urban",'Program_Scale-up'!C$21,IF($C6="Rural",'Program_Scale-up'!C$23,0)))</f>
        <v>0</v>
      </c>
      <c r="D7" s="153">
        <f>IF(urban_rural="N",'Program_Scale-up'!D$19,IF($C6="Urban",'Program_Scale-up'!D$21,IF($C6="Rural",'Program_Scale-up'!D$23,0)))</f>
        <v>0</v>
      </c>
      <c r="E7" s="153">
        <f>IF(urban_rural="N",'Program_Scale-up'!E$19,IF($C6="Urban",'Program_Scale-up'!E$21,IF($C6="Rural",'Program_Scale-up'!E$23,0)))</f>
        <v>0</v>
      </c>
      <c r="F7" s="153">
        <f>IF(urban_rural="N",'Program_Scale-up'!F$19,IF($C6="Urban",'Program_Scale-up'!F$21,IF($C6="Rural",'Program_Scale-up'!F$23,0)))</f>
        <v>0</v>
      </c>
    </row>
    <row r="8" spans="1:19" x14ac:dyDescent="0.4">
      <c r="A8" s="149"/>
      <c r="B8" s="152" t="s">
        <v>109</v>
      </c>
      <c r="C8" s="48" t="e">
        <f>IF(urban_rural="N",'Program_Scale-up'!#REF!,IF($C6="Urban",'Program_Scale-up'!#REF!,IF($C6="Rural",'Program_Scale-up'!#REF!,0)))</f>
        <v>#REF!</v>
      </c>
      <c r="D8" s="48" t="e">
        <f>IF(urban_rural="N",'Program_Scale-up'!#REF!,IF($C6="Urban",'Program_Scale-up'!#REF!,IF($C6="Rural",'Program_Scale-up'!#REF!,0)))</f>
        <v>#REF!</v>
      </c>
      <c r="E8" s="48" t="e">
        <f>IF(urban_rural="N",'Program_Scale-up'!#REF!,IF($C6="Urban",'Program_Scale-up'!#REF!,IF($C6="Rural",'Program_Scale-up'!#REF!,0)))</f>
        <v>#REF!</v>
      </c>
      <c r="F8" s="48" t="e">
        <f>IF(urban_rural="N",'Program_Scale-up'!#REF!,IF($C6="Urban",'Program_Scale-up'!#REF!,IF($C6="Rural",'Program_Scale-up'!#REF!,0)))</f>
        <v>#REF!</v>
      </c>
    </row>
    <row r="9" spans="1:19" x14ac:dyDescent="0.4">
      <c r="B9" s="152" t="s">
        <v>110</v>
      </c>
      <c r="C9" s="48">
        <f>IFERROR(IF($B6=0,0,ROUNDUP(C7/'policy interact graph numbers'!$BG7,0)),0)</f>
        <v>0</v>
      </c>
      <c r="D9" s="48">
        <f>IFERROR(IF($B6=0,0,ROUNDUP(D7/'policy interact graph numbers'!$BJ7,0)),0)</f>
        <v>0</v>
      </c>
      <c r="E9" s="48">
        <f>IFERROR(IF($B6=0,0,ROUNDUP(E7/'policy interact graph numbers'!$BM7,0)),0)</f>
        <v>0</v>
      </c>
      <c r="F9" s="48">
        <f>IF($B6=0,0,ROUNDUP(F7/'policy interact graph numbers'!$AQ6,0))</f>
        <v>0</v>
      </c>
      <c r="H9" t="str">
        <f>chw_method</f>
        <v>CHW per Population</v>
      </c>
    </row>
    <row r="10" spans="1:19" x14ac:dyDescent="0.4">
      <c r="B10" s="152" t="s">
        <v>111</v>
      </c>
      <c r="C10" s="48" t="e">
        <f>'2. CHW Input'!$C$14*C8</f>
        <v>#REF!</v>
      </c>
      <c r="D10" s="48" t="e">
        <f>'2. CHW Input'!$C$14*D8</f>
        <v>#REF!</v>
      </c>
      <c r="E10" s="48" t="e">
        <f>'2. CHW Input'!$C$14*E8</f>
        <v>#REF!</v>
      </c>
      <c r="F10" s="48" t="e">
        <f>'2. CHW Input'!$C$14*F8</f>
        <v>#REF!</v>
      </c>
    </row>
    <row r="11" spans="1:19" x14ac:dyDescent="0.4">
      <c r="B11" s="154" t="str">
        <f>"Total "&amp;_chw1&amp;"s required"</f>
        <v>Total s required</v>
      </c>
      <c r="C11" s="47">
        <f>C9</f>
        <v>0</v>
      </c>
      <c r="D11" s="47">
        <f t="shared" ref="D11:F11" si="1">D9</f>
        <v>0</v>
      </c>
      <c r="E11" s="47">
        <f t="shared" si="1"/>
        <v>0</v>
      </c>
      <c r="F11" s="47">
        <f t="shared" si="1"/>
        <v>0</v>
      </c>
    </row>
    <row r="12" spans="1:19" x14ac:dyDescent="0.4">
      <c r="B12" s="152" t="str">
        <f>_chw1&amp;"s Existing at Start of Year"</f>
        <v>s Existing at Start of Year</v>
      </c>
      <c r="C12" s="48" t="e">
        <f>'2. CHW Input'!#REF!</f>
        <v>#REF!</v>
      </c>
      <c r="D12" s="48">
        <f t="shared" ref="D12:F12" si="2">C15</f>
        <v>0</v>
      </c>
      <c r="E12" s="48">
        <f t="shared" si="2"/>
        <v>0</v>
      </c>
      <c r="F12" s="48">
        <f t="shared" si="2"/>
        <v>0</v>
      </c>
    </row>
    <row r="13" spans="1:19" x14ac:dyDescent="0.4">
      <c r="B13" s="152" t="str">
        <f>_chw1&amp;"s to Train at Start of Year"</f>
        <v>s to Train at Start of Year</v>
      </c>
      <c r="C13" s="48" t="e">
        <f>IF(C11-C12&lt;0,0,C11-C12)</f>
        <v>#REF!</v>
      </c>
      <c r="D13" s="48">
        <f t="shared" ref="D13:F13" si="3">IF(D11-D12&lt;0,0,D11-D12)</f>
        <v>0</v>
      </c>
      <c r="E13" s="48">
        <f t="shared" si="3"/>
        <v>0</v>
      </c>
      <c r="F13" s="48">
        <f t="shared" si="3"/>
        <v>0</v>
      </c>
    </row>
    <row r="14" spans="1:19" x14ac:dyDescent="0.4">
      <c r="B14" s="152" t="str">
        <f>_chw1&amp;"s Lost to Attrition"</f>
        <v>s Lost to Attrition</v>
      </c>
      <c r="C14" s="48">
        <f>ROUNDUP(C11*'2. CHW Input'!$C$15,0)</f>
        <v>0</v>
      </c>
      <c r="D14" s="48">
        <f>ROUNDUP(D11*'2. CHW Input'!$C$15,0)</f>
        <v>0</v>
      </c>
      <c r="E14" s="48">
        <f>ROUNDUP(E11*'2. CHW Input'!$C$15,0)</f>
        <v>0</v>
      </c>
      <c r="F14" s="48">
        <f>ROUNDUP(F11*'2. CHW Input'!$C$15,0)</f>
        <v>0</v>
      </c>
    </row>
    <row r="15" spans="1:19" ht="15" thickBot="1" x14ac:dyDescent="0.45">
      <c r="B15" s="155" t="str">
        <f>_chw1&amp;"s at End of Year"</f>
        <v>s at End of Year</v>
      </c>
      <c r="C15" s="156">
        <f>C11-C14</f>
        <v>0</v>
      </c>
      <c r="D15" s="156">
        <f t="shared" ref="D15:F15" si="4">D11-D14</f>
        <v>0</v>
      </c>
      <c r="E15" s="156">
        <f t="shared" si="4"/>
        <v>0</v>
      </c>
      <c r="F15" s="156">
        <f t="shared" si="4"/>
        <v>0</v>
      </c>
    </row>
    <row r="16" spans="1:19" x14ac:dyDescent="0.4">
      <c r="B16" s="109"/>
      <c r="C16" s="157" t="str">
        <f>IF(Summary_CHW!C$65&lt;1,"","Warning !")</f>
        <v/>
      </c>
      <c r="D16" s="157" t="str">
        <f>IF(Summary_CHW!D$65&lt;1,"","Warning !")</f>
        <v/>
      </c>
      <c r="E16" s="157" t="str">
        <f>IF(Summary_CHW!E$65&lt;1,"","Warning !")</f>
        <v/>
      </c>
      <c r="F16" s="157" t="str">
        <f>IF(Summary_CHW!F$65&lt;1,"","Warning !")</f>
        <v/>
      </c>
    </row>
    <row r="17" spans="1:6" x14ac:dyDescent="0.4">
      <c r="C17" s="158" t="str">
        <f>IF(COUNTIF(C16:F16,"Warning !")&gt;=1,"Based on assumptions input into the tool, the total CHW time needed exceeds the total CHW time available. Consider increasing the number of CHWs.","")</f>
        <v/>
      </c>
    </row>
    <row r="18" spans="1:6" ht="15" thickBot="1" x14ac:dyDescent="0.45">
      <c r="C18" s="158"/>
    </row>
    <row r="19" spans="1:6" ht="15" thickBot="1" x14ac:dyDescent="0.45">
      <c r="A19" s="149"/>
      <c r="B19" s="150">
        <f>_chw2</f>
        <v>0</v>
      </c>
      <c r="C19" s="159" t="str">
        <f>'2. CHW Input'!C20</f>
        <v>Urban</v>
      </c>
      <c r="D19" s="159"/>
      <c r="E19" s="159"/>
      <c r="F19" s="159"/>
    </row>
    <row r="20" spans="1:6" x14ac:dyDescent="0.4">
      <c r="A20" s="149"/>
      <c r="B20" s="152" t="s">
        <v>41</v>
      </c>
      <c r="C20" s="153">
        <f>IF(urban_rural="N",'Program_Scale-up'!C$19,IF($C19="Urban",'Program_Scale-up'!C$21,IF($C19="Rural",'Program_Scale-up'!C$23,0)))</f>
        <v>0</v>
      </c>
      <c r="D20" s="153">
        <f>IF(urban_rural="N",'Program_Scale-up'!D$19,IF($C19="Urban",'Program_Scale-up'!D$21,IF($C19="Rural",'Program_Scale-up'!D$23,0)))</f>
        <v>0</v>
      </c>
      <c r="E20" s="153">
        <f>IF(urban_rural="N",'Program_Scale-up'!E$19,IF($C19="Urban",'Program_Scale-up'!E$21,IF($C19="Rural",'Program_Scale-up'!E$23,0)))</f>
        <v>0</v>
      </c>
      <c r="F20" s="153">
        <f>IF(urban_rural="N",'Program_Scale-up'!F$19,IF($C19="Urban",'Program_Scale-up'!F$21,IF($C19="Rural",'Program_Scale-up'!F$23,0)))</f>
        <v>0</v>
      </c>
    </row>
    <row r="21" spans="1:6" x14ac:dyDescent="0.4">
      <c r="A21" s="149"/>
      <c r="B21" s="152" t="s">
        <v>109</v>
      </c>
      <c r="C21" s="48" t="e">
        <f>IF(urban_rural="N",'Program_Scale-up'!#REF!,IF($C19="Urban",'Program_Scale-up'!#REF!,IF($C19="Rural",'Program_Scale-up'!#REF!,0)))</f>
        <v>#REF!</v>
      </c>
      <c r="D21" s="48" t="e">
        <f>IF(urban_rural="N",'Program_Scale-up'!#REF!,IF($C19="Urban",'Program_Scale-up'!#REF!,IF($C19="Rural",'Program_Scale-up'!#REF!,0)))</f>
        <v>#REF!</v>
      </c>
      <c r="E21" s="48" t="e">
        <f>IF(urban_rural="N",'Program_Scale-up'!#REF!,IF($C19="Urban",'Program_Scale-up'!#REF!,IF($C19="Rural",'Program_Scale-up'!#REF!,0)))</f>
        <v>#REF!</v>
      </c>
      <c r="F21" s="48" t="e">
        <f>IF(urban_rural="N",'Program_Scale-up'!#REF!,IF($C19="Urban",'Program_Scale-up'!#REF!,IF($C19="Rural",'Program_Scale-up'!#REF!,0)))</f>
        <v>#REF!</v>
      </c>
    </row>
    <row r="22" spans="1:6" x14ac:dyDescent="0.4">
      <c r="B22" s="152" t="s">
        <v>110</v>
      </c>
      <c r="C22" s="48">
        <f>IFERROR(IF($B19=0,0,ROUNDUP(C20/'policy interact graph numbers'!$BG8,0)),0)</f>
        <v>0</v>
      </c>
      <c r="D22" s="48">
        <f>IFERROR(IF($B19=0,0,ROUNDUP(D20/'policy interact graph numbers'!$BJ8,0)),0)</f>
        <v>0</v>
      </c>
      <c r="E22" s="48">
        <f>IFERROR(IF($B19=0,0,ROUNDUP(E20/'policy interact graph numbers'!$BM8,0)),0)</f>
        <v>0</v>
      </c>
      <c r="F22" s="48">
        <f>IF($B19=0,0,ROUNDUP(F20/'policy interact graph numbers'!$AQ7,0))</f>
        <v>0</v>
      </c>
    </row>
    <row r="23" spans="1:6" x14ac:dyDescent="0.4">
      <c r="B23" s="152" t="s">
        <v>111</v>
      </c>
      <c r="C23" s="48" t="e">
        <f>'2. CHW Input'!$C$22*C21</f>
        <v>#REF!</v>
      </c>
      <c r="D23" s="48" t="e">
        <f>'2. CHW Input'!$C$22*D21</f>
        <v>#REF!</v>
      </c>
      <c r="E23" s="48" t="e">
        <f>'2. CHW Input'!$C$22*E21</f>
        <v>#REF!</v>
      </c>
      <c r="F23" s="48" t="e">
        <f>'2. CHW Input'!$C$22*F21</f>
        <v>#REF!</v>
      </c>
    </row>
    <row r="24" spans="1:6" x14ac:dyDescent="0.4">
      <c r="B24" s="154" t="str">
        <f>"Total "&amp;_chw2&amp;"s required"</f>
        <v>Total s required</v>
      </c>
      <c r="C24" s="47">
        <f>IF($B19=0,0,IF(chw_method="Manual Entry",'2. CHW Input'!#REF!,IF(chw_method="CHW per population",C22,IF(chw_method="CHW per community",C23,""))))</f>
        <v>0</v>
      </c>
      <c r="D24" s="47">
        <f>IF($B19=0,0,IF(chw_method="Manual Entry",'2. CHW Input'!#REF!,IF(chw_method="CHW per population",D22,IF(chw_method="CHW per community",D23,""))))</f>
        <v>0</v>
      </c>
      <c r="E24" s="47">
        <f>IF($B19=0,0,IF(chw_method="Manual Entry",'2. CHW Input'!#REF!,IF(chw_method="CHW per population",E22,IF(chw_method="CHW per community",E23,""))))</f>
        <v>0</v>
      </c>
      <c r="F24" s="47">
        <f>IF($B19=0,0,IF(chw_method="Manual Entry",'2. CHW Input'!#REF!,IF(chw_method="CHW per population",F22,IF(chw_method="CHW per community",F23,""))))</f>
        <v>0</v>
      </c>
    </row>
    <row r="25" spans="1:6" x14ac:dyDescent="0.4">
      <c r="B25" s="152" t="str">
        <f>_chw2&amp;"s Existing at Start of Year"</f>
        <v>s Existing at Start of Year</v>
      </c>
      <c r="C25" s="48" t="e">
        <f>'2. CHW Input'!#REF!</f>
        <v>#REF!</v>
      </c>
      <c r="D25" s="48">
        <f t="shared" ref="D25:F25" si="5">C28</f>
        <v>0</v>
      </c>
      <c r="E25" s="48">
        <f t="shared" si="5"/>
        <v>0</v>
      </c>
      <c r="F25" s="48">
        <f t="shared" si="5"/>
        <v>0</v>
      </c>
    </row>
    <row r="26" spans="1:6" x14ac:dyDescent="0.4">
      <c r="B26" s="152" t="str">
        <f>_chw2&amp;"s to Train at Start of Year"</f>
        <v>s to Train at Start of Year</v>
      </c>
      <c r="C26" s="48" t="e">
        <f t="shared" ref="C26:F26" si="6">IF(C24-C25&lt;0,0,C24-C25)</f>
        <v>#REF!</v>
      </c>
      <c r="D26" s="48">
        <f t="shared" si="6"/>
        <v>0</v>
      </c>
      <c r="E26" s="48">
        <f t="shared" si="6"/>
        <v>0</v>
      </c>
      <c r="F26" s="48">
        <f t="shared" si="6"/>
        <v>0</v>
      </c>
    </row>
    <row r="27" spans="1:6" x14ac:dyDescent="0.4">
      <c r="B27" s="152" t="str">
        <f>_chw2&amp;"s Lost to Attrition"</f>
        <v>s Lost to Attrition</v>
      </c>
      <c r="C27" s="48">
        <f>ROUNDUP(C24*'2. CHW Input'!$C$23,0)</f>
        <v>0</v>
      </c>
      <c r="D27" s="48">
        <f>ROUNDUP(D24*'2. CHW Input'!$C$23,0)</f>
        <v>0</v>
      </c>
      <c r="E27" s="48">
        <f>ROUNDUP(E24*'2. CHW Input'!$C$23,0)</f>
        <v>0</v>
      </c>
      <c r="F27" s="48">
        <f>ROUNDUP(F24*'2. CHW Input'!$C$23,0)</f>
        <v>0</v>
      </c>
    </row>
    <row r="28" spans="1:6" ht="15" thickBot="1" x14ac:dyDescent="0.45">
      <c r="B28" s="155" t="str">
        <f>_chw2&amp;"s at End of Year"</f>
        <v>s at End of Year</v>
      </c>
      <c r="C28" s="156">
        <f t="shared" ref="C28:F28" si="7">C24-C27</f>
        <v>0</v>
      </c>
      <c r="D28" s="156">
        <f t="shared" si="7"/>
        <v>0</v>
      </c>
      <c r="E28" s="156">
        <f t="shared" si="7"/>
        <v>0</v>
      </c>
      <c r="F28" s="156">
        <f t="shared" si="7"/>
        <v>0</v>
      </c>
    </row>
    <row r="29" spans="1:6" x14ac:dyDescent="0.4">
      <c r="B29" s="109"/>
      <c r="C29" s="157" t="str">
        <f>IF(Summary_CHW!C$66&lt;1,"","Warning !")</f>
        <v/>
      </c>
      <c r="D29" s="157" t="str">
        <f>IF(Summary_CHW!D$66&lt;1,"","Warning !")</f>
        <v/>
      </c>
      <c r="E29" s="157" t="str">
        <f>IF(Summary_CHW!E$66&lt;1,"","Warning !")</f>
        <v/>
      </c>
      <c r="F29" s="157" t="str">
        <f>IF(Summary_CHW!F$66&lt;1,"","Warning !")</f>
        <v/>
      </c>
    </row>
    <row r="30" spans="1:6" x14ac:dyDescent="0.4">
      <c r="B30" s="109"/>
      <c r="C30" s="158" t="str">
        <f>IF(COUNTIF(C29:F29,"Warning !")&gt;=1,"Based on assumptions input into the tool, the total CHW time needed exceeds the total CHW time available. Consider increasing the number of CHWs.","")</f>
        <v/>
      </c>
    </row>
    <row r="31" spans="1:6" ht="15" thickBot="1" x14ac:dyDescent="0.45"/>
    <row r="32" spans="1:6" ht="15" thickBot="1" x14ac:dyDescent="0.45">
      <c r="A32" s="149"/>
      <c r="B32" s="160">
        <f>_chw3</f>
        <v>0</v>
      </c>
      <c r="C32" s="100" t="str">
        <f>'2. CHW Input'!C28</f>
        <v>Urban</v>
      </c>
      <c r="D32" s="100"/>
      <c r="E32" s="100"/>
      <c r="F32" s="100"/>
    </row>
    <row r="33" spans="1:6" x14ac:dyDescent="0.4">
      <c r="A33" s="149"/>
      <c r="B33" s="152" t="s">
        <v>41</v>
      </c>
      <c r="C33" s="153">
        <f>IF(urban_rural="N",'Program_Scale-up'!C$19,IF($C32="Urban",'Program_Scale-up'!C$21,IF($C32="Rural",'Program_Scale-up'!C$23,0)))</f>
        <v>0</v>
      </c>
      <c r="D33" s="153">
        <f>IF(urban_rural="N",'Program_Scale-up'!D$19,IF($C32="Urban",'Program_Scale-up'!D$21,IF($C32="Rural",'Program_Scale-up'!D$23,0)))</f>
        <v>0</v>
      </c>
      <c r="E33" s="153">
        <f>IF(urban_rural="N",'Program_Scale-up'!E$19,IF($C32="Urban",'Program_Scale-up'!E$21,IF($C32="Rural",'Program_Scale-up'!E$23,0)))</f>
        <v>0</v>
      </c>
      <c r="F33" s="153">
        <f>IF(urban_rural="N",'Program_Scale-up'!F$19,IF($C32="Urban",'Program_Scale-up'!F$21,IF($C32="Rural",'Program_Scale-up'!F$23,0)))</f>
        <v>0</v>
      </c>
    </row>
    <row r="34" spans="1:6" x14ac:dyDescent="0.4">
      <c r="A34" s="149"/>
      <c r="B34" s="152" t="s">
        <v>109</v>
      </c>
      <c r="C34" s="48" t="e">
        <f>IF(urban_rural="N",'Program_Scale-up'!#REF!,IF($C32="Urban",'Program_Scale-up'!#REF!,IF($C32="Rural",'Program_Scale-up'!#REF!,0)))</f>
        <v>#REF!</v>
      </c>
      <c r="D34" s="48" t="e">
        <f>IF(urban_rural="N",'Program_Scale-up'!#REF!,IF($C32="Urban",'Program_Scale-up'!#REF!,IF($C32="Rural",'Program_Scale-up'!#REF!,0)))</f>
        <v>#REF!</v>
      </c>
      <c r="E34" s="48" t="e">
        <f>IF(urban_rural="N",'Program_Scale-up'!#REF!,IF($C32="Urban",'Program_Scale-up'!#REF!,IF($C32="Rural",'Program_Scale-up'!#REF!,0)))</f>
        <v>#REF!</v>
      </c>
      <c r="F34" s="48" t="e">
        <f>IF(urban_rural="N",'Program_Scale-up'!#REF!,IF($C32="Urban",'Program_Scale-up'!#REF!,IF($C32="Rural",'Program_Scale-up'!#REF!,0)))</f>
        <v>#REF!</v>
      </c>
    </row>
    <row r="35" spans="1:6" x14ac:dyDescent="0.4">
      <c r="B35" s="161" t="s">
        <v>110</v>
      </c>
      <c r="C35" s="48">
        <f>IFERROR(IF($B32=0,0,ROUNDUP(C33/'policy interact graph numbers'!$BG9,0)),0)</f>
        <v>0</v>
      </c>
      <c r="D35" s="48">
        <f>IFERROR(IF($B32=0,0,ROUNDUP(D33/'policy interact graph numbers'!$BJ9,0)),0)</f>
        <v>0</v>
      </c>
      <c r="E35" s="48">
        <f>IFERROR(IF($B32=0,0,ROUNDUP(E33/'policy interact graph numbers'!$BM9,0)),0)</f>
        <v>0</v>
      </c>
      <c r="F35" s="48">
        <f>IF($B32=0,0,ROUNDUP(F33/'2. CHW Input'!$Y$29,0))</f>
        <v>0</v>
      </c>
    </row>
    <row r="36" spans="1:6" x14ac:dyDescent="0.4">
      <c r="B36" s="161" t="s">
        <v>111</v>
      </c>
      <c r="C36" s="48" t="e">
        <f>'2. CHW Input'!$C$30*C34</f>
        <v>#REF!</v>
      </c>
      <c r="D36" s="48" t="e">
        <f>'2. CHW Input'!$C$30*D34</f>
        <v>#REF!</v>
      </c>
      <c r="E36" s="48" t="e">
        <f>'2. CHW Input'!$C$30*E34</f>
        <v>#REF!</v>
      </c>
      <c r="F36" s="48" t="e">
        <f>'2. CHW Input'!$C$30*F34</f>
        <v>#REF!</v>
      </c>
    </row>
    <row r="37" spans="1:6" x14ac:dyDescent="0.4">
      <c r="B37" s="162" t="str">
        <f>"Total "&amp;_chw3&amp;"s required"</f>
        <v>Total s required</v>
      </c>
      <c r="C37" s="47">
        <f>IF($B32=0,0,IF(chw_method="Manual Entry",'2. CHW Input'!#REF!,IF(chw_method="CHW per population",C35,IF(chw_method="CHW per community",C36,""))))</f>
        <v>0</v>
      </c>
      <c r="D37" s="47">
        <f>IF($B32=0,0,IF(chw_method="Manual Entry",'2. CHW Input'!#REF!,IF(chw_method="CHW per population",D35,IF(chw_method="CHW per community",D36,""))))</f>
        <v>0</v>
      </c>
      <c r="E37" s="47">
        <f>IF($B32=0,0,IF(chw_method="Manual Entry",'2. CHW Input'!#REF!,IF(chw_method="CHW per population",E35,IF(chw_method="CHW per community",E36,""))))</f>
        <v>0</v>
      </c>
      <c r="F37" s="47">
        <f>IF($B32=0,0,IF(chw_method="Manual Entry",'2. CHW Input'!#REF!,IF(chw_method="CHW per population",F35,IF(chw_method="CHW per community",F36,""))))</f>
        <v>0</v>
      </c>
    </row>
    <row r="38" spans="1:6" x14ac:dyDescent="0.4">
      <c r="B38" s="161" t="str">
        <f>_chw3&amp;"s Existing at Start of Year"</f>
        <v>s Existing at Start of Year</v>
      </c>
      <c r="C38" s="48" t="e">
        <f>'2. CHW Input'!#REF!</f>
        <v>#REF!</v>
      </c>
      <c r="D38" s="48">
        <f t="shared" ref="D38:F38" si="8">C41</f>
        <v>0</v>
      </c>
      <c r="E38" s="48">
        <f t="shared" si="8"/>
        <v>0</v>
      </c>
      <c r="F38" s="48">
        <f t="shared" si="8"/>
        <v>0</v>
      </c>
    </row>
    <row r="39" spans="1:6" x14ac:dyDescent="0.4">
      <c r="B39" s="161" t="str">
        <f>_chw3&amp;"s to Train at Start of Year"</f>
        <v>s to Train at Start of Year</v>
      </c>
      <c r="C39" s="48" t="e">
        <f t="shared" ref="C39:F39" si="9">IF(C37-C38&lt;0,0,C37-C38)</f>
        <v>#REF!</v>
      </c>
      <c r="D39" s="48">
        <f t="shared" si="9"/>
        <v>0</v>
      </c>
      <c r="E39" s="48">
        <f t="shared" si="9"/>
        <v>0</v>
      </c>
      <c r="F39" s="48">
        <f t="shared" si="9"/>
        <v>0</v>
      </c>
    </row>
    <row r="40" spans="1:6" x14ac:dyDescent="0.4">
      <c r="B40" s="161" t="str">
        <f>_chw3&amp;"s Lost to Attrition"</f>
        <v>s Lost to Attrition</v>
      </c>
      <c r="C40" s="48">
        <f>ROUNDUP(C37*'2. CHW Input'!$C$31,0)</f>
        <v>0</v>
      </c>
      <c r="D40" s="48">
        <f>ROUNDUP(D37*'2. CHW Input'!$C$31,0)</f>
        <v>0</v>
      </c>
      <c r="E40" s="48">
        <f>ROUNDUP(E37*'2. CHW Input'!$C$31,0)</f>
        <v>0</v>
      </c>
      <c r="F40" s="48">
        <f>ROUNDUP(F37*'2. CHW Input'!$C$31,0)</f>
        <v>0</v>
      </c>
    </row>
    <row r="41" spans="1:6" ht="15" thickBot="1" x14ac:dyDescent="0.45">
      <c r="B41" s="163" t="str">
        <f>_chw3&amp;"s at End of Year"</f>
        <v>s at End of Year</v>
      </c>
      <c r="C41" s="156">
        <f t="shared" ref="C41:F41" si="10">C37-C40</f>
        <v>0</v>
      </c>
      <c r="D41" s="156">
        <f t="shared" si="10"/>
        <v>0</v>
      </c>
      <c r="E41" s="156">
        <f t="shared" si="10"/>
        <v>0</v>
      </c>
      <c r="F41" s="156">
        <f t="shared" si="10"/>
        <v>0</v>
      </c>
    </row>
    <row r="42" spans="1:6" x14ac:dyDescent="0.4">
      <c r="B42" s="109"/>
      <c r="C42" s="157" t="str">
        <f>IF(Summary_CHW!C$67&lt;1,"","Warning !")</f>
        <v/>
      </c>
      <c r="D42" s="157" t="str">
        <f>IF(Summary_CHW!D$67&lt;1,"","Warning !")</f>
        <v/>
      </c>
      <c r="E42" s="157" t="str">
        <f>IF(Summary_CHW!E$67&lt;1,"","Warning !")</f>
        <v/>
      </c>
      <c r="F42" s="157" t="str">
        <f>IF(Summary_CHW!F$67&lt;1,"","Warning !")</f>
        <v/>
      </c>
    </row>
    <row r="43" spans="1:6" x14ac:dyDescent="0.4">
      <c r="B43" s="109"/>
      <c r="C43" s="158" t="str">
        <f>IF(COUNTIF(C42:F42,"Warning !")&gt;=1,"Based on assumptions input into the tool, the total CHW time needed exceeds the total CHW time available. Consider increasing the number of CHWs.","")</f>
        <v/>
      </c>
    </row>
    <row r="44" spans="1:6" ht="15" thickBot="1" x14ac:dyDescent="0.45"/>
    <row r="45" spans="1:6" ht="15" thickBot="1" x14ac:dyDescent="0.45">
      <c r="A45" s="149"/>
      <c r="B45" s="160">
        <f>_chw4</f>
        <v>0</v>
      </c>
      <c r="C45" s="100" t="str">
        <f>'2. CHW Input'!C36</f>
        <v>Urban</v>
      </c>
      <c r="D45" s="100"/>
      <c r="E45" s="100"/>
      <c r="F45" s="100"/>
    </row>
    <row r="46" spans="1:6" x14ac:dyDescent="0.4">
      <c r="A46" s="149"/>
      <c r="B46" s="152" t="s">
        <v>41</v>
      </c>
      <c r="C46" s="153">
        <f>IF(urban_rural="N",'Program_Scale-up'!C$19,IF($C45="Urban",'Program_Scale-up'!C$21,IF($C45="Rural",'Program_Scale-up'!C$23,0)))</f>
        <v>0</v>
      </c>
      <c r="D46" s="153">
        <f>IF(urban_rural="N",'Program_Scale-up'!D$19,IF($C45="Urban",'Program_Scale-up'!D$21,IF($C45="Rural",'Program_Scale-up'!D$23,0)))</f>
        <v>0</v>
      </c>
      <c r="E46" s="153">
        <f>IF(urban_rural="N",'Program_Scale-up'!E$19,IF($C45="Urban",'Program_Scale-up'!E$21,IF($C45="Rural",'Program_Scale-up'!E$23,0)))</f>
        <v>0</v>
      </c>
      <c r="F46" s="153">
        <f>IF(urban_rural="N",'Program_Scale-up'!F$19,IF($C45="Urban",'Program_Scale-up'!F$21,IF($C45="Rural",'Program_Scale-up'!F$23,0)))</f>
        <v>0</v>
      </c>
    </row>
    <row r="47" spans="1:6" x14ac:dyDescent="0.4">
      <c r="A47" s="149"/>
      <c r="B47" s="152" t="s">
        <v>109</v>
      </c>
      <c r="C47" s="48" t="e">
        <f>IF(urban_rural="N",'Program_Scale-up'!#REF!,IF($C45="Urban",'Program_Scale-up'!#REF!,IF($C45="Rural",'Program_Scale-up'!#REF!,0)))</f>
        <v>#REF!</v>
      </c>
      <c r="D47" s="48" t="e">
        <f>IF(urban_rural="N",'Program_Scale-up'!#REF!,IF($C45="Urban",'Program_Scale-up'!#REF!,IF($C45="Rural",'Program_Scale-up'!#REF!,0)))</f>
        <v>#REF!</v>
      </c>
      <c r="E47" s="48" t="e">
        <f>IF(urban_rural="N",'Program_Scale-up'!#REF!,IF($C45="Urban",'Program_Scale-up'!#REF!,IF($C45="Rural",'Program_Scale-up'!#REF!,0)))</f>
        <v>#REF!</v>
      </c>
      <c r="F47" s="48" t="e">
        <f>IF(urban_rural="N",'Program_Scale-up'!#REF!,IF($C45="Urban",'Program_Scale-up'!#REF!,IF($C45="Rural",'Program_Scale-up'!#REF!,0)))</f>
        <v>#REF!</v>
      </c>
    </row>
    <row r="48" spans="1:6" x14ac:dyDescent="0.4">
      <c r="B48" s="161" t="s">
        <v>110</v>
      </c>
      <c r="C48" s="48">
        <f>IFERROR(IF($B45=0,0,ROUNDUP(C46/'policy interact graph numbers'!$BG10,0)),0)</f>
        <v>0</v>
      </c>
      <c r="D48" s="48">
        <f>IFERROR(IF($B45=0,0,ROUNDUP(D46/'policy interact graph numbers'!$BJ10,0)),0)</f>
        <v>0</v>
      </c>
      <c r="E48" s="48">
        <f>IFERROR(IF($B45=0,0,ROUNDUP(E46/'policy interact graph numbers'!$BM10,0)),0)</f>
        <v>0</v>
      </c>
      <c r="F48" s="48">
        <f>IF($B45=0,0,ROUNDUP(F46/'2. CHW Input'!$Y$37,0))</f>
        <v>0</v>
      </c>
    </row>
    <row r="49" spans="1:6" x14ac:dyDescent="0.4">
      <c r="B49" s="161" t="s">
        <v>111</v>
      </c>
      <c r="C49" s="48" t="e">
        <f>'2. CHW Input'!$C$38*C47</f>
        <v>#REF!</v>
      </c>
      <c r="D49" s="48" t="e">
        <f>'2. CHW Input'!$C$38*D47</f>
        <v>#REF!</v>
      </c>
      <c r="E49" s="48" t="e">
        <f>'2. CHW Input'!$C$38*E47</f>
        <v>#REF!</v>
      </c>
      <c r="F49" s="48" t="e">
        <f>'2. CHW Input'!$C$38*F47</f>
        <v>#REF!</v>
      </c>
    </row>
    <row r="50" spans="1:6" x14ac:dyDescent="0.4">
      <c r="B50" s="162" t="str">
        <f>"Total "&amp;_chw4&amp;"s required"</f>
        <v>Total s required</v>
      </c>
      <c r="C50" s="47">
        <f>IF($B45=0,0,IF(chw_method="Manual Entry",'2. CHW Input'!#REF!,IF(chw_method="CHW per population",C48,IF(chw_method="CHW per community",C49,""))))</f>
        <v>0</v>
      </c>
      <c r="D50" s="47">
        <f>IF($B45=0,0,IF(chw_method="Manual Entry",'2. CHW Input'!#REF!,IF(chw_method="CHW per population",D48,IF(chw_method="CHW per community",D49,""))))</f>
        <v>0</v>
      </c>
      <c r="E50" s="47">
        <f>IF($B45=0,0,IF(chw_method="Manual Entry",'2. CHW Input'!#REF!,IF(chw_method="CHW per population",E48,IF(chw_method="CHW per community",E49,""))))</f>
        <v>0</v>
      </c>
      <c r="F50" s="47">
        <f>IF($B45=0,0,IF(chw_method="Manual Entry",'2. CHW Input'!#REF!,IF(chw_method="CHW per population",F48,IF(chw_method="CHW per community",F49,""))))</f>
        <v>0</v>
      </c>
    </row>
    <row r="51" spans="1:6" x14ac:dyDescent="0.4">
      <c r="B51" s="161" t="str">
        <f>_chw4&amp;"s Existing at Start of Year"</f>
        <v>s Existing at Start of Year</v>
      </c>
      <c r="C51" s="48" t="e">
        <f>'2. CHW Input'!#REF!</f>
        <v>#REF!</v>
      </c>
      <c r="D51" s="48">
        <f t="shared" ref="D51:F51" si="11">C54</f>
        <v>0</v>
      </c>
      <c r="E51" s="48">
        <f t="shared" si="11"/>
        <v>0</v>
      </c>
      <c r="F51" s="48">
        <f t="shared" si="11"/>
        <v>0</v>
      </c>
    </row>
    <row r="52" spans="1:6" x14ac:dyDescent="0.4">
      <c r="B52" s="161" t="str">
        <f>_chw4&amp;"s to Train at Start of Year"</f>
        <v>s to Train at Start of Year</v>
      </c>
      <c r="C52" s="48" t="e">
        <f t="shared" ref="C52:F52" si="12">IF(C50-C51&lt;0,0,C50-C51)</f>
        <v>#REF!</v>
      </c>
      <c r="D52" s="48">
        <f t="shared" si="12"/>
        <v>0</v>
      </c>
      <c r="E52" s="48">
        <f t="shared" si="12"/>
        <v>0</v>
      </c>
      <c r="F52" s="48">
        <f t="shared" si="12"/>
        <v>0</v>
      </c>
    </row>
    <row r="53" spans="1:6" x14ac:dyDescent="0.4">
      <c r="B53" s="161" t="str">
        <f>_chw4&amp;"s Lost to Attrition"</f>
        <v>s Lost to Attrition</v>
      </c>
      <c r="C53" s="48">
        <f>ROUNDUP(C50*'2. CHW Input'!$C$39,0)</f>
        <v>0</v>
      </c>
      <c r="D53" s="48">
        <f>ROUNDUP(D50*'2. CHW Input'!$C$39,0)</f>
        <v>0</v>
      </c>
      <c r="E53" s="48">
        <f>ROUNDUP(E50*'2. CHW Input'!$C$39,0)</f>
        <v>0</v>
      </c>
      <c r="F53" s="48">
        <f>ROUNDUP(F50*'2. CHW Input'!$C$39,0)</f>
        <v>0</v>
      </c>
    </row>
    <row r="54" spans="1:6" ht="15" thickBot="1" x14ac:dyDescent="0.45">
      <c r="B54" s="163" t="str">
        <f>_chw4&amp;"s at End of Year"</f>
        <v>s at End of Year</v>
      </c>
      <c r="C54" s="156">
        <f t="shared" ref="C54:F54" si="13">C50-C53</f>
        <v>0</v>
      </c>
      <c r="D54" s="156">
        <f t="shared" si="13"/>
        <v>0</v>
      </c>
      <c r="E54" s="156">
        <f t="shared" si="13"/>
        <v>0</v>
      </c>
      <c r="F54" s="156">
        <f t="shared" si="13"/>
        <v>0</v>
      </c>
    </row>
    <row r="55" spans="1:6" x14ac:dyDescent="0.4">
      <c r="B55" s="109"/>
      <c r="C55" s="157" t="str">
        <f>IF(Summary_CHW!C$68&lt;1,"","Warning !")</f>
        <v/>
      </c>
      <c r="D55" s="157" t="str">
        <f>IF(Summary_CHW!D$68&lt;1,"","Warning !")</f>
        <v/>
      </c>
      <c r="E55" s="157" t="str">
        <f>IF(Summary_CHW!E$68&lt;1,"","Warning !")</f>
        <v/>
      </c>
      <c r="F55" s="157" t="str">
        <f>IF(Summary_CHW!F$68&lt;1,"","Warning !")</f>
        <v/>
      </c>
    </row>
    <row r="56" spans="1:6" x14ac:dyDescent="0.4">
      <c r="B56" s="109"/>
      <c r="C56" s="158" t="str">
        <f>IF(COUNTIF(C55:F55,"Warning !")&gt;=1,"Based on assumptions input into the tool, the total CHW time needed exceeds the total CHW time available. Consider increasing the number of CHWs.","")</f>
        <v/>
      </c>
    </row>
    <row r="57" spans="1:6" ht="15" thickBot="1" x14ac:dyDescent="0.45"/>
    <row r="58" spans="1:6" ht="15" thickBot="1" x14ac:dyDescent="0.45">
      <c r="A58" s="149"/>
      <c r="B58" s="160">
        <f>_chw5</f>
        <v>0</v>
      </c>
      <c r="C58" s="100" t="str">
        <f>'2. CHW Input'!C44</f>
        <v>Urban</v>
      </c>
      <c r="D58" s="100"/>
      <c r="E58" s="100"/>
      <c r="F58" s="100"/>
    </row>
    <row r="59" spans="1:6" x14ac:dyDescent="0.4">
      <c r="A59" s="149"/>
      <c r="B59" s="152" t="s">
        <v>41</v>
      </c>
      <c r="C59" s="153">
        <f>IF(urban_rural="N",'Program_Scale-up'!C$19,IF($C58="Urban",'Program_Scale-up'!C$21,IF($C58="Rural",'Program_Scale-up'!C$23,0)))</f>
        <v>0</v>
      </c>
      <c r="D59" s="153">
        <f>IF(urban_rural="N",'Program_Scale-up'!D$19,IF($C58="Urban",'Program_Scale-up'!D$21,IF($C58="Rural",'Program_Scale-up'!D$23,0)))</f>
        <v>0</v>
      </c>
      <c r="E59" s="153">
        <f>IF(urban_rural="N",'Program_Scale-up'!E$19,IF($C58="Urban",'Program_Scale-up'!E$21,IF($C58="Rural",'Program_Scale-up'!E$23,0)))</f>
        <v>0</v>
      </c>
      <c r="F59" s="153">
        <f>IF(urban_rural="N",'Program_Scale-up'!F$19,IF($C58="Urban",'Program_Scale-up'!F$21,IF($C58="Rural",'Program_Scale-up'!F$23,0)))</f>
        <v>0</v>
      </c>
    </row>
    <row r="60" spans="1:6" x14ac:dyDescent="0.4">
      <c r="A60" s="149"/>
      <c r="B60" s="152" t="s">
        <v>109</v>
      </c>
      <c r="C60" s="48" t="e">
        <f>IF(urban_rural="N",'Program_Scale-up'!#REF!,IF($C58="Urban",'Program_Scale-up'!#REF!,IF($C58="Rural",'Program_Scale-up'!#REF!,0)))</f>
        <v>#REF!</v>
      </c>
      <c r="D60" s="48" t="e">
        <f>IF(urban_rural="N",'Program_Scale-up'!#REF!,IF($C58="Urban",'Program_Scale-up'!#REF!,IF($C58="Rural",'Program_Scale-up'!#REF!,0)))</f>
        <v>#REF!</v>
      </c>
      <c r="E60" s="48" t="e">
        <f>IF(urban_rural="N",'Program_Scale-up'!#REF!,IF($C58="Urban",'Program_Scale-up'!#REF!,IF($C58="Rural",'Program_Scale-up'!#REF!,0)))</f>
        <v>#REF!</v>
      </c>
      <c r="F60" s="48" t="e">
        <f>IF(urban_rural="N",'Program_Scale-up'!#REF!,IF($C58="Urban",'Program_Scale-up'!#REF!,IF($C58="Rural",'Program_Scale-up'!#REF!,0)))</f>
        <v>#REF!</v>
      </c>
    </row>
    <row r="61" spans="1:6" x14ac:dyDescent="0.4">
      <c r="B61" s="161" t="s">
        <v>110</v>
      </c>
      <c r="C61" s="48">
        <f>IFERROR(IF($B58=0,0,ROUNDUP(C59/'policy interact graph numbers'!$BG11,0)),0)</f>
        <v>0</v>
      </c>
      <c r="D61" s="48">
        <f>IFERROR(IF($B58=0,0,ROUNDUP(D59/'policy interact graph numbers'!$BJ11,0)),0)</f>
        <v>0</v>
      </c>
      <c r="E61" s="48">
        <f>IFERROR(IF($B58=0,0,ROUNDUP(E59/'policy interact graph numbers'!$BM11,0)),0)</f>
        <v>0</v>
      </c>
      <c r="F61" s="48">
        <f>IF($B58=0,0,ROUNDUP(F59/'2. CHW Input'!$Y$45,0))</f>
        <v>0</v>
      </c>
    </row>
    <row r="62" spans="1:6" x14ac:dyDescent="0.4">
      <c r="B62" s="161" t="s">
        <v>111</v>
      </c>
      <c r="C62" s="48" t="e">
        <f>'2. CHW Input'!$C$46*C60</f>
        <v>#REF!</v>
      </c>
      <c r="D62" s="48" t="e">
        <f>'2. CHW Input'!$C$46*D60</f>
        <v>#REF!</v>
      </c>
      <c r="E62" s="48" t="e">
        <f>'2. CHW Input'!$C$46*E60</f>
        <v>#REF!</v>
      </c>
      <c r="F62" s="48" t="e">
        <f>'2. CHW Input'!$C$46*F60</f>
        <v>#REF!</v>
      </c>
    </row>
    <row r="63" spans="1:6" x14ac:dyDescent="0.4">
      <c r="B63" s="162" t="str">
        <f>"Total "&amp;_chw5&amp;"s required"</f>
        <v>Total s required</v>
      </c>
      <c r="C63" s="47">
        <f>IF($B58=0,0,IF(chw_method="Manual Entry",'2. CHW Input'!#REF!,IF(chw_method="CHW per population",C61,IF(chw_method="CHW per community",C62,""))))</f>
        <v>0</v>
      </c>
      <c r="D63" s="47">
        <f>IF($B58=0,0,IF(chw_method="Manual Entry",'2. CHW Input'!#REF!,IF(chw_method="CHW per population",D61,IF(chw_method="CHW per community",D62,""))))</f>
        <v>0</v>
      </c>
      <c r="E63" s="47">
        <f>IF($B58=0,0,IF(chw_method="Manual Entry",'2. CHW Input'!#REF!,IF(chw_method="CHW per population",E61,IF(chw_method="CHW per community",E62,""))))</f>
        <v>0</v>
      </c>
      <c r="F63" s="47">
        <f>IF($B58=0,0,IF(chw_method="Manual Entry",'2. CHW Input'!#REF!,IF(chw_method="CHW per population",F61,IF(chw_method="CHW per community",F62,""))))</f>
        <v>0</v>
      </c>
    </row>
    <row r="64" spans="1:6" x14ac:dyDescent="0.4">
      <c r="B64" s="161" t="str">
        <f>_chw5&amp;"s Existing at Start of Year"</f>
        <v>s Existing at Start of Year</v>
      </c>
      <c r="C64" s="48" t="e">
        <f>'2. CHW Input'!#REF!</f>
        <v>#REF!</v>
      </c>
      <c r="D64" s="48">
        <f t="shared" ref="D64:F64" si="14">C67</f>
        <v>0</v>
      </c>
      <c r="E64" s="48">
        <f t="shared" si="14"/>
        <v>0</v>
      </c>
      <c r="F64" s="48">
        <f t="shared" si="14"/>
        <v>0</v>
      </c>
    </row>
    <row r="65" spans="1:6" x14ac:dyDescent="0.4">
      <c r="B65" s="161" t="str">
        <f>_chw5&amp;"s to Train at Start of Year"</f>
        <v>s to Train at Start of Year</v>
      </c>
      <c r="C65" s="48" t="e">
        <f t="shared" ref="C65:F65" si="15">IF(C63-C64&lt;0,0,C63-C64)</f>
        <v>#REF!</v>
      </c>
      <c r="D65" s="48">
        <f t="shared" si="15"/>
        <v>0</v>
      </c>
      <c r="E65" s="48">
        <f t="shared" si="15"/>
        <v>0</v>
      </c>
      <c r="F65" s="48">
        <f t="shared" si="15"/>
        <v>0</v>
      </c>
    </row>
    <row r="66" spans="1:6" x14ac:dyDescent="0.4">
      <c r="B66" s="161" t="str">
        <f>_chw5&amp;"s Lost to Attrition"</f>
        <v>s Lost to Attrition</v>
      </c>
      <c r="C66" s="48">
        <f>ROUNDUP(C63*'2. CHW Input'!$C$47,0)</f>
        <v>0</v>
      </c>
      <c r="D66" s="48">
        <f>ROUNDUP(D63*'2. CHW Input'!$C$47,0)</f>
        <v>0</v>
      </c>
      <c r="E66" s="48">
        <f>ROUNDUP(E63*'2. CHW Input'!$C$47,0)</f>
        <v>0</v>
      </c>
      <c r="F66" s="48">
        <f>ROUNDUP(F63*'2. CHW Input'!$C$47,0)</f>
        <v>0</v>
      </c>
    </row>
    <row r="67" spans="1:6" ht="15" thickBot="1" x14ac:dyDescent="0.45">
      <c r="B67" s="163" t="str">
        <f>_chw5&amp;"s at End of Year"</f>
        <v>s at End of Year</v>
      </c>
      <c r="C67" s="156">
        <f t="shared" ref="C67:F67" si="16">C63-C66</f>
        <v>0</v>
      </c>
      <c r="D67" s="156">
        <f t="shared" si="16"/>
        <v>0</v>
      </c>
      <c r="E67" s="156">
        <f t="shared" si="16"/>
        <v>0</v>
      </c>
      <c r="F67" s="156">
        <f t="shared" si="16"/>
        <v>0</v>
      </c>
    </row>
    <row r="68" spans="1:6" x14ac:dyDescent="0.4">
      <c r="B68" s="109"/>
      <c r="C68" s="157" t="str">
        <f>IF(Summary_CHW!C$69&lt;1,"","Warning !")</f>
        <v/>
      </c>
      <c r="D68" s="157" t="str">
        <f>IF(Summary_CHW!D$69&lt;1,"","Warning !")</f>
        <v/>
      </c>
      <c r="E68" s="157" t="str">
        <f>IF(Summary_CHW!E$69&lt;1,"","Warning !")</f>
        <v/>
      </c>
      <c r="F68" s="157" t="str">
        <f>IF(Summary_CHW!F$69&lt;1,"","Warning !")</f>
        <v/>
      </c>
    </row>
    <row r="69" spans="1:6" x14ac:dyDescent="0.4">
      <c r="B69" s="109"/>
      <c r="C69" s="158" t="str">
        <f>IF(COUNTIF(C68:F68,"Warning !")&gt;=1,"Based on assumptions input into the tool, the total CHW time needed exceeds the total CHW time available. Consider increasing the number of CHWs.","")</f>
        <v/>
      </c>
    </row>
    <row r="70" spans="1:6" ht="15" thickBot="1" x14ac:dyDescent="0.45"/>
    <row r="71" spans="1:6" ht="15" thickBot="1" x14ac:dyDescent="0.45">
      <c r="A71" s="149"/>
      <c r="B71" s="160">
        <f>_chw6</f>
        <v>0</v>
      </c>
      <c r="C71" s="100" t="str">
        <f>'2. CHW Input'!C52</f>
        <v>Urban</v>
      </c>
      <c r="D71" s="100"/>
      <c r="E71" s="100"/>
      <c r="F71" s="100"/>
    </row>
    <row r="72" spans="1:6" x14ac:dyDescent="0.4">
      <c r="A72" s="149"/>
      <c r="B72" s="152" t="s">
        <v>41</v>
      </c>
      <c r="C72" s="153">
        <f>IF(urban_rural="N",'Program_Scale-up'!C$19,IF($C71="Urban",'Program_Scale-up'!C$21,IF($C71="Rural",'Program_Scale-up'!C$23,0)))</f>
        <v>0</v>
      </c>
      <c r="D72" s="153">
        <f>IF(urban_rural="N",'Program_Scale-up'!D$19,IF($C71="Urban",'Program_Scale-up'!D$21,IF($C71="Rural",'Program_Scale-up'!D$23,0)))</f>
        <v>0</v>
      </c>
      <c r="E72" s="153">
        <f>IF(urban_rural="N",'Program_Scale-up'!E$19,IF($C71="Urban",'Program_Scale-up'!E$21,IF($C71="Rural",'Program_Scale-up'!E$23,0)))</f>
        <v>0</v>
      </c>
      <c r="F72" s="153">
        <f>IF(urban_rural="N",'Program_Scale-up'!F$19,IF($C71="Urban",'Program_Scale-up'!F$21,IF($C71="Rural",'Program_Scale-up'!F$23,0)))</f>
        <v>0</v>
      </c>
    </row>
    <row r="73" spans="1:6" x14ac:dyDescent="0.4">
      <c r="A73" s="149"/>
      <c r="B73" s="152" t="s">
        <v>109</v>
      </c>
      <c r="C73" s="48" t="e">
        <f>IF(urban_rural="N",'Program_Scale-up'!#REF!,IF($C71="Urban",'Program_Scale-up'!#REF!,IF($C71="Rural",'Program_Scale-up'!#REF!,0)))</f>
        <v>#REF!</v>
      </c>
      <c r="D73" s="48" t="e">
        <f>IF(urban_rural="N",'Program_Scale-up'!#REF!,IF($C71="Urban",'Program_Scale-up'!#REF!,IF($C71="Rural",'Program_Scale-up'!#REF!,0)))</f>
        <v>#REF!</v>
      </c>
      <c r="E73" s="48" t="e">
        <f>IF(urban_rural="N",'Program_Scale-up'!#REF!,IF($C71="Urban",'Program_Scale-up'!#REF!,IF($C71="Rural",'Program_Scale-up'!#REF!,0)))</f>
        <v>#REF!</v>
      </c>
      <c r="F73" s="48" t="e">
        <f>IF(urban_rural="N",'Program_Scale-up'!#REF!,IF($C71="Urban",'Program_Scale-up'!#REF!,IF($C71="Rural",'Program_Scale-up'!#REF!,0)))</f>
        <v>#REF!</v>
      </c>
    </row>
    <row r="74" spans="1:6" x14ac:dyDescent="0.4">
      <c r="B74" s="161" t="s">
        <v>110</v>
      </c>
      <c r="C74" s="48">
        <f>IFERROR(IF($B71=0,0,ROUNDUP(C72/'policy interact graph numbers'!$BG12,0)),0)</f>
        <v>0</v>
      </c>
      <c r="D74" s="48">
        <f>IFERROR(IF($B71=0,0,ROUNDUP(D72/'policy interact graph numbers'!$BJ12,0)),0)</f>
        <v>0</v>
      </c>
      <c r="E74" s="48">
        <f>IFERROR(IF($B71=0,0,ROUNDUP(E72/'policy interact graph numbers'!$BM12,0)),0)</f>
        <v>0</v>
      </c>
      <c r="F74" s="48">
        <f>IF($B71=0,0,ROUNDUP(F72/'2. CHW Input'!$C$53,0))</f>
        <v>0</v>
      </c>
    </row>
    <row r="75" spans="1:6" x14ac:dyDescent="0.4">
      <c r="B75" s="161" t="s">
        <v>111</v>
      </c>
      <c r="C75" s="48" t="e">
        <f>'2. CHW Input'!$C$54*C73</f>
        <v>#REF!</v>
      </c>
      <c r="D75" s="48" t="e">
        <f>'2. CHW Input'!$C$54*D73</f>
        <v>#REF!</v>
      </c>
      <c r="E75" s="48" t="e">
        <f>'2. CHW Input'!$C$54*E73</f>
        <v>#REF!</v>
      </c>
      <c r="F75" s="48" t="e">
        <f>'2. CHW Input'!$C$54*F73</f>
        <v>#REF!</v>
      </c>
    </row>
    <row r="76" spans="1:6" x14ac:dyDescent="0.4">
      <c r="B76" s="162" t="str">
        <f>"Total "&amp;_chw6&amp;"s required"</f>
        <v>Total s required</v>
      </c>
      <c r="C76" s="47">
        <f>IF($B71=0,0,IF(chw_method="Manual Entry",'2. CHW Input'!#REF!,IF(chw_method="CHW per population",C74,IF(chw_method="CHW per community",C75,""))))</f>
        <v>0</v>
      </c>
      <c r="D76" s="47">
        <f>IF($B71=0,0,IF(chw_method="Manual Entry",'2. CHW Input'!#REF!,IF(chw_method="CHW per population",D74,IF(chw_method="CHW per community",D75,""))))</f>
        <v>0</v>
      </c>
      <c r="E76" s="47">
        <f>IF($B71=0,0,IF(chw_method="Manual Entry",'2. CHW Input'!#REF!,IF(chw_method="CHW per population",E74,IF(chw_method="CHW per community",E75,""))))</f>
        <v>0</v>
      </c>
      <c r="F76" s="47">
        <f>IF($B71=0,0,IF(chw_method="Manual Entry",'2. CHW Input'!#REF!,IF(chw_method="CHW per population",F74,IF(chw_method="CHW per community",F75,""))))</f>
        <v>0</v>
      </c>
    </row>
    <row r="77" spans="1:6" x14ac:dyDescent="0.4">
      <c r="B77" s="161" t="str">
        <f>_chw6&amp;"s Existing at Start of Year"</f>
        <v>s Existing at Start of Year</v>
      </c>
      <c r="C77" s="48" t="e">
        <f>'2. CHW Input'!#REF!</f>
        <v>#REF!</v>
      </c>
      <c r="D77" s="48">
        <f t="shared" ref="D77:F77" si="17">C80</f>
        <v>0</v>
      </c>
      <c r="E77" s="48">
        <f t="shared" si="17"/>
        <v>0</v>
      </c>
      <c r="F77" s="48">
        <f t="shared" si="17"/>
        <v>0</v>
      </c>
    </row>
    <row r="78" spans="1:6" x14ac:dyDescent="0.4">
      <c r="B78" s="161" t="str">
        <f>_chw6&amp;"s to Train at Start of Year"</f>
        <v>s to Train at Start of Year</v>
      </c>
      <c r="C78" s="48" t="e">
        <f t="shared" ref="C78:F78" si="18">IF(C76-C77&lt;0,0,C76-C77)</f>
        <v>#REF!</v>
      </c>
      <c r="D78" s="48">
        <f t="shared" si="18"/>
        <v>0</v>
      </c>
      <c r="E78" s="48">
        <f t="shared" si="18"/>
        <v>0</v>
      </c>
      <c r="F78" s="48">
        <f t="shared" si="18"/>
        <v>0</v>
      </c>
    </row>
    <row r="79" spans="1:6" x14ac:dyDescent="0.4">
      <c r="B79" s="161" t="str">
        <f>_chw6&amp;"s Lost to Attrition"</f>
        <v>s Lost to Attrition</v>
      </c>
      <c r="C79" s="48">
        <f>ROUNDUP(C76*'2. CHW Input'!$C$55,0)</f>
        <v>0</v>
      </c>
      <c r="D79" s="48">
        <f>ROUNDUP(D76*'2. CHW Input'!$C$55,0)</f>
        <v>0</v>
      </c>
      <c r="E79" s="48">
        <f>ROUNDUP(E76*'2. CHW Input'!$C$55,0)</f>
        <v>0</v>
      </c>
      <c r="F79" s="48">
        <f>ROUNDUP(F76*'2. CHW Input'!$C$55,0)</f>
        <v>0</v>
      </c>
    </row>
    <row r="80" spans="1:6" ht="15" thickBot="1" x14ac:dyDescent="0.45">
      <c r="B80" s="163" t="str">
        <f>_chw6&amp;"s at End of Year"</f>
        <v>s at End of Year</v>
      </c>
      <c r="C80" s="156">
        <f t="shared" ref="C80:F80" si="19">C76-C79</f>
        <v>0</v>
      </c>
      <c r="D80" s="156">
        <f t="shared" si="19"/>
        <v>0</v>
      </c>
      <c r="E80" s="156">
        <f t="shared" si="19"/>
        <v>0</v>
      </c>
      <c r="F80" s="156">
        <f t="shared" si="19"/>
        <v>0</v>
      </c>
    </row>
    <row r="81" spans="1:6" x14ac:dyDescent="0.4">
      <c r="B81" s="109"/>
      <c r="C81" s="157" t="str">
        <f>IF(Summary_CHW!C$70&lt;1,"","Warning !")</f>
        <v/>
      </c>
      <c r="D81" s="157" t="str">
        <f>IF(Summary_CHW!D$70&lt;1,"","Warning !")</f>
        <v/>
      </c>
      <c r="E81" s="157" t="str">
        <f>IF(Summary_CHW!E$70&lt;1,"","Warning !")</f>
        <v/>
      </c>
      <c r="F81" s="157" t="str">
        <f>IF(Summary_CHW!F$70&lt;1,"","Warning !")</f>
        <v/>
      </c>
    </row>
    <row r="82" spans="1:6" x14ac:dyDescent="0.4">
      <c r="B82" s="109"/>
      <c r="C82" s="158" t="str">
        <f>IF(COUNTIF(C81:F81,"Warning !")&gt;=1,"Based on assumptions input into the tool, the total CHW time needed exceeds the total CHW time available. Consider increasing the number of CHWs.","")</f>
        <v/>
      </c>
    </row>
    <row r="85" spans="1:6" ht="15" thickBot="1" x14ac:dyDescent="0.45">
      <c r="B85" s="2" t="s">
        <v>112</v>
      </c>
      <c r="C85" s="2">
        <f>baseline_year</f>
        <v>0</v>
      </c>
      <c r="D85" s="2">
        <f t="shared" ref="D85:F85" si="20">C85+1</f>
        <v>1</v>
      </c>
      <c r="E85" s="2">
        <f t="shared" si="20"/>
        <v>2</v>
      </c>
      <c r="F85" s="2">
        <f t="shared" si="20"/>
        <v>3</v>
      </c>
    </row>
    <row r="86" spans="1:6" x14ac:dyDescent="0.4">
      <c r="A86" s="149" t="str">
        <f>C6</f>
        <v>Rural</v>
      </c>
      <c r="B86" s="164" t="str">
        <f>IF(_chw1="","",_chw1)</f>
        <v/>
      </c>
      <c r="C86" s="165">
        <f>CHW_Numbers!C11</f>
        <v>0</v>
      </c>
      <c r="D86" s="165">
        <f>CHW_Numbers!D11</f>
        <v>0</v>
      </c>
      <c r="E86" s="165">
        <f>CHW_Numbers!E11</f>
        <v>0</v>
      </c>
      <c r="F86" s="165">
        <f>CHW_Numbers!F11</f>
        <v>0</v>
      </c>
    </row>
    <row r="87" spans="1:6" x14ac:dyDescent="0.4">
      <c r="A87" s="166" t="str">
        <f>C19</f>
        <v>Urban</v>
      </c>
      <c r="B87" s="161" t="str">
        <f>IF(_chw2="","",_chw2)</f>
        <v/>
      </c>
      <c r="C87" s="167">
        <f>CHW_Numbers!C24</f>
        <v>0</v>
      </c>
      <c r="D87" s="167">
        <f>CHW_Numbers!D24</f>
        <v>0</v>
      </c>
      <c r="E87" s="167">
        <f>CHW_Numbers!E24</f>
        <v>0</v>
      </c>
      <c r="F87" s="167">
        <f>CHW_Numbers!F24</f>
        <v>0</v>
      </c>
    </row>
    <row r="88" spans="1:6" x14ac:dyDescent="0.4">
      <c r="A88" s="149" t="str">
        <f>C32</f>
        <v>Urban</v>
      </c>
      <c r="B88" s="161" t="str">
        <f>IF(_chw3="","",_chw3)</f>
        <v/>
      </c>
      <c r="C88" s="167">
        <f>CHW_Numbers!C37</f>
        <v>0</v>
      </c>
      <c r="D88" s="167">
        <f>CHW_Numbers!D37</f>
        <v>0</v>
      </c>
      <c r="E88" s="167">
        <f>CHW_Numbers!E37</f>
        <v>0</v>
      </c>
      <c r="F88" s="167">
        <f>CHW_Numbers!F37</f>
        <v>0</v>
      </c>
    </row>
    <row r="89" spans="1:6" x14ac:dyDescent="0.4">
      <c r="A89" s="149" t="str">
        <f>C45</f>
        <v>Urban</v>
      </c>
      <c r="B89" s="161" t="str">
        <f>IF(_chw4="","",_chw4)</f>
        <v/>
      </c>
      <c r="C89" s="167">
        <f>CHW_Numbers!C50</f>
        <v>0</v>
      </c>
      <c r="D89" s="167">
        <f>CHW_Numbers!D50</f>
        <v>0</v>
      </c>
      <c r="E89" s="167">
        <f>CHW_Numbers!E50</f>
        <v>0</v>
      </c>
      <c r="F89" s="167">
        <f>CHW_Numbers!F50</f>
        <v>0</v>
      </c>
    </row>
    <row r="90" spans="1:6" x14ac:dyDescent="0.4">
      <c r="A90" s="149" t="str">
        <f>C58</f>
        <v>Urban</v>
      </c>
      <c r="B90" s="161" t="str">
        <f>IF(_chw5="","",_chw5)</f>
        <v/>
      </c>
      <c r="C90" s="167">
        <f>CHW_Numbers!C63</f>
        <v>0</v>
      </c>
      <c r="D90" s="167">
        <f>CHW_Numbers!D63</f>
        <v>0</v>
      </c>
      <c r="E90" s="167">
        <f>CHW_Numbers!E63</f>
        <v>0</v>
      </c>
      <c r="F90" s="167">
        <f>CHW_Numbers!F63</f>
        <v>0</v>
      </c>
    </row>
    <row r="91" spans="1:6" x14ac:dyDescent="0.4">
      <c r="A91" s="149" t="str">
        <f>C71</f>
        <v>Urban</v>
      </c>
      <c r="B91" s="161" t="str">
        <f>IF(_chw6="","",_chw6)</f>
        <v/>
      </c>
      <c r="C91" s="167">
        <f>CHW_Numbers!C76</f>
        <v>0</v>
      </c>
      <c r="D91" s="167">
        <f>CHW_Numbers!D76</f>
        <v>0</v>
      </c>
      <c r="E91" s="167">
        <f>CHW_Numbers!E76</f>
        <v>0</v>
      </c>
      <c r="F91" s="167">
        <f>CHW_Numbers!F76</f>
        <v>0</v>
      </c>
    </row>
    <row r="92" spans="1:6" ht="15" thickBot="1" x14ac:dyDescent="0.45">
      <c r="A92" s="149"/>
      <c r="B92" s="163"/>
      <c r="C92" s="168">
        <f t="shared" ref="C92:F92" si="21">SUM(C86:C91)</f>
        <v>0</v>
      </c>
      <c r="D92" s="168">
        <f t="shared" si="21"/>
        <v>0</v>
      </c>
      <c r="E92" s="168">
        <f t="shared" si="21"/>
        <v>0</v>
      </c>
      <c r="F92" s="168">
        <f t="shared" si="21"/>
        <v>0</v>
      </c>
    </row>
    <row r="93" spans="1:6" x14ac:dyDescent="0.4">
      <c r="B93" s="164" t="s">
        <v>114</v>
      </c>
      <c r="C93" s="165">
        <f>SUMIF($A$86:$A$91,"Urban",C86:C91)</f>
        <v>0</v>
      </c>
      <c r="D93" s="165">
        <f t="shared" ref="D93:F93" si="22">SUMIF($A$86:$A$91,"Urban",D86:D91)</f>
        <v>0</v>
      </c>
      <c r="E93" s="165">
        <f t="shared" si="22"/>
        <v>0</v>
      </c>
      <c r="F93" s="165">
        <f t="shared" si="22"/>
        <v>0</v>
      </c>
    </row>
    <row r="94" spans="1:6" ht="15" thickBot="1" x14ac:dyDescent="0.45">
      <c r="B94" s="163" t="s">
        <v>115</v>
      </c>
      <c r="C94" s="168">
        <f>SUMIF($A$86:$A$91,"Rural",C86:C91)</f>
        <v>0</v>
      </c>
      <c r="D94" s="168">
        <f t="shared" ref="D94:F94" si="23">SUMIF($A$86:$A$91,"Rural",D86:D91)</f>
        <v>0</v>
      </c>
      <c r="E94" s="168">
        <f t="shared" si="23"/>
        <v>0</v>
      </c>
      <c r="F94" s="168">
        <f t="shared" si="23"/>
        <v>0</v>
      </c>
    </row>
    <row r="96" spans="1:6" ht="15" thickBot="1" x14ac:dyDescent="0.45">
      <c r="B96" s="2" t="s">
        <v>116</v>
      </c>
      <c r="C96" s="2">
        <f>baseline_year</f>
        <v>0</v>
      </c>
      <c r="D96" s="2">
        <f t="shared" ref="D96:F96" si="24">C96+1</f>
        <v>1</v>
      </c>
      <c r="E96" s="2">
        <f t="shared" si="24"/>
        <v>2</v>
      </c>
      <c r="F96" s="2">
        <f t="shared" si="24"/>
        <v>3</v>
      </c>
    </row>
    <row r="97" spans="2:6" x14ac:dyDescent="0.4">
      <c r="B97" s="164" t="str">
        <f>IF(_chw1="","",_chw1)</f>
        <v/>
      </c>
      <c r="C97" s="165" t="e">
        <f>CHW_Numbers!C13</f>
        <v>#REF!</v>
      </c>
      <c r="D97" s="165">
        <f>CHW_Numbers!D13</f>
        <v>0</v>
      </c>
      <c r="E97" s="165">
        <f>CHW_Numbers!E13</f>
        <v>0</v>
      </c>
      <c r="F97" s="165">
        <f>CHW_Numbers!F13</f>
        <v>0</v>
      </c>
    </row>
    <row r="98" spans="2:6" x14ac:dyDescent="0.4">
      <c r="B98" s="161" t="str">
        <f>IF(_chw2="","",_chw2)</f>
        <v/>
      </c>
      <c r="C98" s="167" t="e">
        <f>CHW_Numbers!C26</f>
        <v>#REF!</v>
      </c>
      <c r="D98" s="167">
        <f>CHW_Numbers!D26</f>
        <v>0</v>
      </c>
      <c r="E98" s="167">
        <f>CHW_Numbers!E26</f>
        <v>0</v>
      </c>
      <c r="F98" s="167">
        <f>CHW_Numbers!F26</f>
        <v>0</v>
      </c>
    </row>
    <row r="99" spans="2:6" x14ac:dyDescent="0.4">
      <c r="B99" s="161" t="str">
        <f>IF(_chw3="","",_chw3)</f>
        <v/>
      </c>
      <c r="C99" s="167" t="e">
        <f>CHW_Numbers!C39</f>
        <v>#REF!</v>
      </c>
      <c r="D99" s="167">
        <f>CHW_Numbers!D39</f>
        <v>0</v>
      </c>
      <c r="E99" s="167">
        <f>CHW_Numbers!E39</f>
        <v>0</v>
      </c>
      <c r="F99" s="167">
        <f>CHW_Numbers!F39</f>
        <v>0</v>
      </c>
    </row>
    <row r="100" spans="2:6" x14ac:dyDescent="0.4">
      <c r="B100" s="161" t="str">
        <f>IF(_chw4="","",_chw4)</f>
        <v/>
      </c>
      <c r="C100" s="167" t="e">
        <f>CHW_Numbers!C52</f>
        <v>#REF!</v>
      </c>
      <c r="D100" s="167">
        <f>CHW_Numbers!D52</f>
        <v>0</v>
      </c>
      <c r="E100" s="167">
        <f>CHW_Numbers!E52</f>
        <v>0</v>
      </c>
      <c r="F100" s="167">
        <f>CHW_Numbers!F52</f>
        <v>0</v>
      </c>
    </row>
    <row r="101" spans="2:6" x14ac:dyDescent="0.4">
      <c r="B101" s="161" t="str">
        <f>IF(_chw5="","",_chw5)</f>
        <v/>
      </c>
      <c r="C101" s="167" t="e">
        <f>CHW_Numbers!C65</f>
        <v>#REF!</v>
      </c>
      <c r="D101" s="167">
        <f>CHW_Numbers!D65</f>
        <v>0</v>
      </c>
      <c r="E101" s="167">
        <f>CHW_Numbers!E65</f>
        <v>0</v>
      </c>
      <c r="F101" s="167">
        <f>CHW_Numbers!F65</f>
        <v>0</v>
      </c>
    </row>
    <row r="102" spans="2:6" x14ac:dyDescent="0.4">
      <c r="B102" s="161" t="str">
        <f>IF(_chw6="","",_chw6)</f>
        <v/>
      </c>
      <c r="C102" s="167" t="e">
        <f>CHW_Numbers!C78</f>
        <v>#REF!</v>
      </c>
      <c r="D102" s="167">
        <f>CHW_Numbers!D78</f>
        <v>0</v>
      </c>
      <c r="E102" s="167">
        <f>CHW_Numbers!E78</f>
        <v>0</v>
      </c>
      <c r="F102" s="167">
        <f>CHW_Numbers!F78</f>
        <v>0</v>
      </c>
    </row>
    <row r="103" spans="2:6" ht="15" thickBot="1" x14ac:dyDescent="0.45">
      <c r="B103" s="163" t="s">
        <v>113</v>
      </c>
      <c r="C103" s="168" t="e">
        <f t="shared" ref="C103:F103" si="25">SUM(C97:C102)</f>
        <v>#REF!</v>
      </c>
      <c r="D103" s="168">
        <f t="shared" si="25"/>
        <v>0</v>
      </c>
      <c r="E103" s="168">
        <f t="shared" si="25"/>
        <v>0</v>
      </c>
      <c r="F103" s="168">
        <f t="shared" si="25"/>
        <v>0</v>
      </c>
    </row>
    <row r="105" spans="2:6" ht="44.15" thickBot="1" x14ac:dyDescent="0.45">
      <c r="B105" s="169" t="s">
        <v>117</v>
      </c>
      <c r="C105" s="2">
        <f>baseline_year</f>
        <v>0</v>
      </c>
      <c r="D105" s="2">
        <f t="shared" ref="D105:F105" si="26">C105+1</f>
        <v>1</v>
      </c>
      <c r="E105" s="2">
        <f t="shared" si="26"/>
        <v>2</v>
      </c>
      <c r="F105" s="2">
        <f t="shared" si="26"/>
        <v>3</v>
      </c>
    </row>
    <row r="106" spans="2:6" ht="15" thickBot="1" x14ac:dyDescent="0.45">
      <c r="B106" s="164" t="str">
        <f>IF(_chw1="","",_chw1)</f>
        <v/>
      </c>
      <c r="C106" s="165">
        <f>C86</f>
        <v>0</v>
      </c>
      <c r="D106" s="165">
        <f t="shared" ref="D106:F106" si="27">D86</f>
        <v>0</v>
      </c>
      <c r="E106" s="165">
        <f t="shared" si="27"/>
        <v>0</v>
      </c>
      <c r="F106" s="165">
        <f t="shared" si="27"/>
        <v>0</v>
      </c>
    </row>
    <row r="107" spans="2:6" x14ac:dyDescent="0.4">
      <c r="B107" s="161" t="str">
        <f>IF(_chw2="","",_chw2)</f>
        <v/>
      </c>
      <c r="C107" s="165">
        <f t="shared" ref="C107:F107" si="28">C87</f>
        <v>0</v>
      </c>
      <c r="D107" s="167">
        <f t="shared" si="28"/>
        <v>0</v>
      </c>
      <c r="E107" s="167">
        <f t="shared" si="28"/>
        <v>0</v>
      </c>
      <c r="F107" s="167">
        <f t="shared" si="28"/>
        <v>0</v>
      </c>
    </row>
    <row r="108" spans="2:6" x14ac:dyDescent="0.4">
      <c r="B108" s="161" t="str">
        <f>IF(_chw3="","",_chw3)</f>
        <v/>
      </c>
      <c r="C108" s="167">
        <f t="shared" ref="C108:F108" si="29">C88</f>
        <v>0</v>
      </c>
      <c r="D108" s="167">
        <f t="shared" si="29"/>
        <v>0</v>
      </c>
      <c r="E108" s="167">
        <f t="shared" si="29"/>
        <v>0</v>
      </c>
      <c r="F108" s="167">
        <f t="shared" si="29"/>
        <v>0</v>
      </c>
    </row>
    <row r="109" spans="2:6" x14ac:dyDescent="0.4">
      <c r="B109" s="161" t="str">
        <f>IF(_chw4="","",_chw4)</f>
        <v/>
      </c>
      <c r="C109" s="167">
        <f t="shared" ref="C109:F109" si="30">C89</f>
        <v>0</v>
      </c>
      <c r="D109" s="167">
        <f t="shared" si="30"/>
        <v>0</v>
      </c>
      <c r="E109" s="167">
        <f t="shared" si="30"/>
        <v>0</v>
      </c>
      <c r="F109" s="167">
        <f t="shared" si="30"/>
        <v>0</v>
      </c>
    </row>
    <row r="110" spans="2:6" x14ac:dyDescent="0.4">
      <c r="B110" s="161" t="str">
        <f>IF(_chw5="","",_chw5)</f>
        <v/>
      </c>
      <c r="C110" s="167">
        <f t="shared" ref="C110:F110" si="31">C90</f>
        <v>0</v>
      </c>
      <c r="D110" s="167">
        <f t="shared" si="31"/>
        <v>0</v>
      </c>
      <c r="E110" s="167">
        <f t="shared" si="31"/>
        <v>0</v>
      </c>
      <c r="F110" s="167">
        <f t="shared" si="31"/>
        <v>0</v>
      </c>
    </row>
    <row r="111" spans="2:6" x14ac:dyDescent="0.4">
      <c r="B111" s="161" t="str">
        <f>IF(_chw6="","",_chw6)</f>
        <v/>
      </c>
      <c r="C111" s="167">
        <f t="shared" ref="C111:F111" si="32">C91</f>
        <v>0</v>
      </c>
      <c r="D111" s="167">
        <f t="shared" si="32"/>
        <v>0</v>
      </c>
      <c r="E111" s="167">
        <f t="shared" si="32"/>
        <v>0</v>
      </c>
      <c r="F111" s="167">
        <f t="shared" si="32"/>
        <v>0</v>
      </c>
    </row>
    <row r="112" spans="2:6" ht="15" thickBot="1" x14ac:dyDescent="0.45">
      <c r="B112" s="163" t="s">
        <v>113</v>
      </c>
      <c r="C112" s="168">
        <f>SUM(C106:C111)</f>
        <v>0</v>
      </c>
      <c r="D112" s="168">
        <f t="shared" ref="D112:F112" si="33">SUM(D106:D111)</f>
        <v>0</v>
      </c>
      <c r="E112" s="168">
        <f t="shared" si="33"/>
        <v>0</v>
      </c>
      <c r="F112" s="168">
        <f t="shared" si="33"/>
        <v>0</v>
      </c>
    </row>
    <row r="114" spans="2:9" ht="15" thickBot="1" x14ac:dyDescent="0.45">
      <c r="C114" s="170"/>
      <c r="D114">
        <v>1</v>
      </c>
      <c r="E114">
        <v>2</v>
      </c>
      <c r="F114">
        <v>3</v>
      </c>
    </row>
    <row r="115" spans="2:9" x14ac:dyDescent="0.4">
      <c r="B115" s="171" t="str">
        <f>_chw1&amp; " working hours / year:"</f>
        <v xml:space="preserve"> working hours / year:</v>
      </c>
      <c r="C115" s="172">
        <f>'policy interact graph numbers'!BH7*'policy interact graph numbers'!BI7</f>
        <v>0</v>
      </c>
      <c r="D115" s="172">
        <f>'policy interact graph numbers'!BK7*'policy interact graph numbers'!BL7</f>
        <v>0</v>
      </c>
      <c r="E115" s="172">
        <f>'policy interact graph numbers'!BN7*'policy interact graph numbers'!BO7</f>
        <v>0</v>
      </c>
      <c r="F115" s="172">
        <f>'policy interact graph numbers'!AR6*'policy interact graph numbers'!AS6</f>
        <v>2080</v>
      </c>
    </row>
    <row r="116" spans="2:9" x14ac:dyDescent="0.4">
      <c r="B116" s="161"/>
      <c r="C116" s="139"/>
      <c r="D116" s="139"/>
      <c r="E116" s="139"/>
      <c r="F116" s="139"/>
    </row>
    <row r="117" spans="2:9" x14ac:dyDescent="0.4">
      <c r="B117" s="173"/>
      <c r="C117" s="174"/>
      <c r="D117" s="174"/>
      <c r="E117" s="140"/>
      <c r="F117" s="140"/>
      <c r="I117" s="175"/>
    </row>
    <row r="118" spans="2:9" ht="15" thickBot="1" x14ac:dyDescent="0.45">
      <c r="B118" s="161"/>
      <c r="C118" s="34"/>
      <c r="D118" s="34"/>
      <c r="E118" s="34"/>
      <c r="F118" s="34"/>
    </row>
    <row r="119" spans="2:9" x14ac:dyDescent="0.4">
      <c r="B119" s="176" t="str">
        <f>_chw2&amp; " working hours / year:"</f>
        <v xml:space="preserve"> working hours / year:</v>
      </c>
      <c r="C119" s="172">
        <f>'policy interact graph numbers'!BH8*'policy interact graph numbers'!BI8</f>
        <v>0</v>
      </c>
      <c r="D119" s="172">
        <f>'policy interact graph numbers'!BK8*'policy interact graph numbers'!BL8</f>
        <v>0</v>
      </c>
      <c r="E119" s="172">
        <f>'policy interact graph numbers'!BN8*'policy interact graph numbers'!BO8</f>
        <v>0</v>
      </c>
      <c r="F119" s="172">
        <f>'policy interact graph numbers'!AR7*'policy interact graph numbers'!AS7</f>
        <v>400</v>
      </c>
    </row>
    <row r="120" spans="2:9" x14ac:dyDescent="0.4">
      <c r="B120" s="161"/>
      <c r="C120" s="139"/>
      <c r="D120" s="139"/>
      <c r="E120" s="139"/>
      <c r="F120" s="139"/>
    </row>
    <row r="121" spans="2:9" x14ac:dyDescent="0.4">
      <c r="B121" s="173"/>
      <c r="C121" s="174"/>
      <c r="D121" s="174"/>
      <c r="E121" s="174"/>
      <c r="F121" s="174"/>
    </row>
    <row r="122" spans="2:9" ht="15" thickBot="1" x14ac:dyDescent="0.45">
      <c r="B122" s="161"/>
      <c r="C122" s="34"/>
      <c r="D122" s="34"/>
      <c r="E122" s="34"/>
      <c r="F122" s="34"/>
    </row>
    <row r="123" spans="2:9" x14ac:dyDescent="0.4">
      <c r="B123" s="176" t="str">
        <f>_chw3&amp; " working hours / year:"</f>
        <v xml:space="preserve"> working hours / year:</v>
      </c>
      <c r="C123" s="172">
        <f>'policy interact graph numbers'!BH9*'policy interact graph numbers'!BI9</f>
        <v>0</v>
      </c>
      <c r="D123" s="172">
        <f>'policy interact graph numbers'!BK9*'policy interact graph numbers'!BL9</f>
        <v>0</v>
      </c>
      <c r="E123" s="172">
        <f>'policy interact graph numbers'!BN9*'policy interact graph numbers'!BO9</f>
        <v>0</v>
      </c>
      <c r="F123" s="172">
        <f>'policy interact graph numbers'!AR9*'policy interact graph numbers'!AS9</f>
        <v>0</v>
      </c>
    </row>
    <row r="124" spans="2:9" x14ac:dyDescent="0.4">
      <c r="B124" s="161"/>
      <c r="C124" s="139"/>
      <c r="D124" s="139"/>
      <c r="E124" s="139"/>
      <c r="F124" s="139"/>
    </row>
    <row r="125" spans="2:9" x14ac:dyDescent="0.4">
      <c r="B125" s="173"/>
      <c r="C125" s="174"/>
      <c r="D125" s="174"/>
      <c r="E125" s="174"/>
      <c r="F125" s="174"/>
    </row>
    <row r="126" spans="2:9" ht="15" thickBot="1" x14ac:dyDescent="0.45">
      <c r="B126" s="161"/>
      <c r="C126" s="34"/>
      <c r="D126" s="34"/>
      <c r="E126" s="34"/>
      <c r="F126" s="34"/>
    </row>
    <row r="127" spans="2:9" x14ac:dyDescent="0.4">
      <c r="B127" s="176" t="str">
        <f>_chw4&amp; " working hours / year:"</f>
        <v xml:space="preserve"> working hours / year:</v>
      </c>
      <c r="C127" s="172">
        <f>'policy interact graph numbers'!BH10*'policy interact graph numbers'!BI10</f>
        <v>0</v>
      </c>
      <c r="D127" s="172">
        <f>'policy interact graph numbers'!BK10*'policy interact graph numbers'!BL10</f>
        <v>0</v>
      </c>
      <c r="E127" s="172">
        <f>'policy interact graph numbers'!BN10*'policy interact graph numbers'!BO10</f>
        <v>0</v>
      </c>
      <c r="F127" s="172">
        <f>'policy interact graph numbers'!BM10*'policy interact graph numbers'!BN10</f>
        <v>0</v>
      </c>
    </row>
    <row r="128" spans="2:9" x14ac:dyDescent="0.4">
      <c r="B128" s="161"/>
      <c r="C128" s="139"/>
      <c r="D128" s="139"/>
      <c r="E128" s="139"/>
      <c r="F128" s="139"/>
    </row>
    <row r="129" spans="2:6" x14ac:dyDescent="0.4">
      <c r="B129" s="173"/>
      <c r="C129" s="174"/>
      <c r="D129" s="174"/>
      <c r="E129" s="174"/>
      <c r="F129" s="174"/>
    </row>
    <row r="130" spans="2:6" ht="15" thickBot="1" x14ac:dyDescent="0.45">
      <c r="B130" s="161"/>
      <c r="C130" s="34"/>
      <c r="D130" s="34"/>
      <c r="E130" s="34"/>
      <c r="F130" s="34"/>
    </row>
    <row r="131" spans="2:6" x14ac:dyDescent="0.4">
      <c r="B131" s="176" t="str">
        <f>_chw5&amp; " working hours / year:"</f>
        <v xml:space="preserve"> working hours / year:</v>
      </c>
      <c r="C131" s="172">
        <f>'policy interact graph numbers'!BH11*'policy interact graph numbers'!BI11</f>
        <v>0</v>
      </c>
      <c r="D131" s="172">
        <f>'policy interact graph numbers'!BK11*'policy interact graph numbers'!BL11</f>
        <v>0</v>
      </c>
      <c r="E131" s="172">
        <f>'policy interact graph numbers'!BN11*'policy interact graph numbers'!BO11</f>
        <v>0</v>
      </c>
      <c r="F131" s="172">
        <f>'policy interact graph numbers'!BM11*'policy interact graph numbers'!BN11</f>
        <v>0</v>
      </c>
    </row>
    <row r="132" spans="2:6" x14ac:dyDescent="0.4">
      <c r="B132" s="161"/>
      <c r="C132" s="139"/>
      <c r="D132" s="139"/>
      <c r="E132" s="139"/>
      <c r="F132" s="139"/>
    </row>
    <row r="133" spans="2:6" x14ac:dyDescent="0.4">
      <c r="B133" s="173"/>
      <c r="C133" s="174"/>
      <c r="D133" s="174"/>
      <c r="E133" s="174"/>
      <c r="F133" s="174"/>
    </row>
    <row r="134" spans="2:6" ht="15" thickBot="1" x14ac:dyDescent="0.45">
      <c r="B134" s="161"/>
      <c r="C134" s="34"/>
      <c r="D134" s="34"/>
      <c r="E134" s="34"/>
      <c r="F134" s="34"/>
    </row>
    <row r="135" spans="2:6" x14ac:dyDescent="0.4">
      <c r="B135" s="176" t="str">
        <f>_chw6&amp; " working hours / year:"</f>
        <v xml:space="preserve"> working hours / year:</v>
      </c>
      <c r="C135" s="172">
        <f>'policy interact graph numbers'!BH12*'policy interact graph numbers'!BI12</f>
        <v>0</v>
      </c>
      <c r="D135" s="172">
        <f>'policy interact graph numbers'!BK12*'policy interact graph numbers'!BL12</f>
        <v>0</v>
      </c>
      <c r="E135" s="172">
        <f>'policy interact graph numbers'!BN12*'policy interact graph numbers'!BO12</f>
        <v>0</v>
      </c>
      <c r="F135" s="172">
        <f>'policy interact graph numbers'!BM12*'policy interact graph numbers'!BN12</f>
        <v>0</v>
      </c>
    </row>
    <row r="136" spans="2:6" x14ac:dyDescent="0.4">
      <c r="B136" s="161"/>
      <c r="C136" s="139"/>
      <c r="D136" s="139"/>
      <c r="E136" s="139"/>
      <c r="F136" s="139"/>
    </row>
    <row r="137" spans="2:6" ht="15" thickBot="1" x14ac:dyDescent="0.45">
      <c r="B137" s="163"/>
      <c r="C137" s="177"/>
      <c r="D137" s="177"/>
      <c r="E137" s="177"/>
      <c r="F137" s="177"/>
    </row>
  </sheetData>
  <conditionalFormatting sqref="C28:F28">
    <cfRule type="expression" dxfId="1" priority="1">
      <formula>C$29</formula>
    </cfRule>
  </conditionalFormatting>
  <pageMargins left="0.7" right="0.7" top="0.75" bottom="0.75" header="0.3" footer="0.3"/>
  <pageSetup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811">
    <tabColor theme="0" tint="-0.499984740745262"/>
  </sheetPr>
  <dimension ref="A1:AT201"/>
  <sheetViews>
    <sheetView showGridLines="0" workbookViewId="0">
      <pane xSplit="3" ySplit="4" topLeftCell="D50" activePane="bottomRight" state="frozen"/>
      <selection activeCell="H26" sqref="H26"/>
      <selection pane="topRight" activeCell="H26" sqref="H26"/>
      <selection pane="bottomLeft" activeCell="H26" sqref="H26"/>
      <selection pane="bottomRight" activeCell="H26" sqref="H26"/>
    </sheetView>
  </sheetViews>
  <sheetFormatPr defaultColWidth="8.84375" defaultRowHeight="14.6" x14ac:dyDescent="0.4"/>
  <cols>
    <col min="3" max="3" width="38" customWidth="1"/>
    <col min="4" max="8" width="12.4609375" style="228" customWidth="1"/>
    <col min="14" max="15" width="12.4609375" style="228" customWidth="1"/>
    <col min="18" max="20" width="8.69140625" hidden="1" customWidth="1"/>
    <col min="26" max="26" width="8.69140625" hidden="1" customWidth="1"/>
    <col min="28" max="29" width="8.69140625" hidden="1" customWidth="1"/>
    <col min="31" max="31" width="8.69140625" hidden="1" customWidth="1"/>
    <col min="34" max="35" width="0" hidden="1" customWidth="1"/>
    <col min="42" max="42" width="0" hidden="1" customWidth="1"/>
    <col min="44" max="44" width="0" hidden="1" customWidth="1"/>
    <col min="46" max="46" width="0" hidden="1" customWidth="1"/>
  </cols>
  <sheetData>
    <row r="1" spans="1:46" x14ac:dyDescent="0.4">
      <c r="A1" s="144" t="s">
        <v>137</v>
      </c>
      <c r="B1" s="146"/>
      <c r="C1" s="146"/>
    </row>
    <row r="2" spans="1:46" x14ac:dyDescent="0.4">
      <c r="A2" s="146" t="s">
        <v>138</v>
      </c>
      <c r="B2" s="146"/>
      <c r="C2" s="229">
        <v>42383</v>
      </c>
      <c r="D2" s="230"/>
      <c r="E2" s="230"/>
      <c r="F2" s="230" t="s">
        <v>139</v>
      </c>
      <c r="G2" s="230" t="s">
        <v>140</v>
      </c>
      <c r="H2" s="230" t="s">
        <v>71</v>
      </c>
      <c r="I2" s="231" t="s">
        <v>71</v>
      </c>
      <c r="J2" s="231" t="s">
        <v>71</v>
      </c>
      <c r="K2" s="231" t="s">
        <v>71</v>
      </c>
      <c r="L2" s="230" t="s">
        <v>71</v>
      </c>
      <c r="M2" s="230" t="s">
        <v>71</v>
      </c>
      <c r="N2" s="230" t="s">
        <v>71</v>
      </c>
      <c r="O2" s="230" t="s">
        <v>71</v>
      </c>
      <c r="P2" s="231" t="s">
        <v>71</v>
      </c>
      <c r="Q2" s="231" t="s">
        <v>71</v>
      </c>
      <c r="U2" s="231" t="s">
        <v>71</v>
      </c>
      <c r="V2" s="231" t="s">
        <v>71</v>
      </c>
      <c r="W2" s="231" t="s">
        <v>71</v>
      </c>
      <c r="X2" s="231" t="s">
        <v>71</v>
      </c>
      <c r="Y2" s="231" t="s">
        <v>71</v>
      </c>
      <c r="AA2" s="231" t="s">
        <v>71</v>
      </c>
      <c r="AD2" s="231" t="s">
        <v>71</v>
      </c>
      <c r="AF2" s="231" t="s">
        <v>71</v>
      </c>
      <c r="AG2" s="231" t="s">
        <v>71</v>
      </c>
      <c r="AJ2" s="231" t="s">
        <v>71</v>
      </c>
      <c r="AK2" s="231" t="s">
        <v>71</v>
      </c>
      <c r="AL2" s="231" t="s">
        <v>71</v>
      </c>
      <c r="AM2" s="231" t="s">
        <v>71</v>
      </c>
      <c r="AN2" s="231" t="s">
        <v>71</v>
      </c>
      <c r="AO2" s="231" t="s">
        <v>71</v>
      </c>
      <c r="AQ2" s="231" t="s">
        <v>71</v>
      </c>
      <c r="AS2" s="231" t="s">
        <v>71</v>
      </c>
    </row>
    <row r="3" spans="1:46" x14ac:dyDescent="0.4">
      <c r="D3" s="230"/>
      <c r="E3" s="230"/>
      <c r="F3" s="230"/>
      <c r="G3" s="230"/>
      <c r="H3" s="230"/>
      <c r="I3" s="232" t="s">
        <v>141</v>
      </c>
      <c r="J3" s="232" t="s">
        <v>142</v>
      </c>
      <c r="K3" s="230"/>
      <c r="L3" s="230"/>
      <c r="M3" s="230"/>
      <c r="N3" s="230"/>
      <c r="O3" s="230"/>
      <c r="P3" s="231"/>
      <c r="Q3" s="231"/>
      <c r="U3" s="231"/>
      <c r="V3" s="231"/>
      <c r="W3" s="231"/>
      <c r="X3" s="231"/>
      <c r="Y3" s="231"/>
      <c r="AA3" s="231"/>
      <c r="AD3" s="231"/>
      <c r="AF3" s="231"/>
      <c r="AG3" s="231"/>
      <c r="AJ3" s="231"/>
      <c r="AK3" s="231"/>
      <c r="AL3" s="231"/>
      <c r="AM3" s="231"/>
      <c r="AN3" s="231"/>
      <c r="AO3" s="231"/>
      <c r="AQ3" s="231"/>
      <c r="AS3" s="231"/>
    </row>
    <row r="4" spans="1:46" s="238" customFormat="1" ht="60" x14ac:dyDescent="0.4">
      <c r="A4" s="233" t="s">
        <v>143</v>
      </c>
      <c r="B4" s="233" t="s">
        <v>144</v>
      </c>
      <c r="C4" s="234" t="s">
        <v>145</v>
      </c>
      <c r="D4" s="235" t="s">
        <v>146</v>
      </c>
      <c r="E4" s="235" t="s">
        <v>147</v>
      </c>
      <c r="F4" s="235" t="s">
        <v>148</v>
      </c>
      <c r="G4" s="235" t="str">
        <f>"National Population '000 ("&amp;baseline_year&amp;")"</f>
        <v>National Population '000 ()</v>
      </c>
      <c r="H4" s="235" t="str">
        <f>"Total Population ("&amp;baseline_year&amp;")"</f>
        <v>Total Population ()</v>
      </c>
      <c r="I4" s="236" t="s">
        <v>59</v>
      </c>
      <c r="J4" s="236" t="s">
        <v>149</v>
      </c>
      <c r="K4" s="236" t="s">
        <v>150</v>
      </c>
      <c r="L4" s="236" t="s">
        <v>151</v>
      </c>
      <c r="M4" s="236" t="s">
        <v>152</v>
      </c>
      <c r="N4" s="235" t="s">
        <v>153</v>
      </c>
      <c r="O4" s="235" t="s">
        <v>154</v>
      </c>
      <c r="P4" s="236" t="s">
        <v>155</v>
      </c>
      <c r="Q4" s="236" t="s">
        <v>156</v>
      </c>
      <c r="R4" s="237" t="s">
        <v>157</v>
      </c>
      <c r="S4" s="237" t="s">
        <v>158</v>
      </c>
      <c r="T4" s="236" t="s">
        <v>159</v>
      </c>
      <c r="U4" s="236" t="s">
        <v>160</v>
      </c>
      <c r="V4" s="236" t="s">
        <v>161</v>
      </c>
      <c r="W4" s="236" t="s">
        <v>162</v>
      </c>
      <c r="X4" s="236" t="s">
        <v>163</v>
      </c>
      <c r="Y4" s="236" t="s">
        <v>164</v>
      </c>
      <c r="Z4" s="236" t="s">
        <v>165</v>
      </c>
      <c r="AA4" s="236" t="s">
        <v>166</v>
      </c>
      <c r="AB4" s="236" t="s">
        <v>167</v>
      </c>
      <c r="AC4" s="236" t="s">
        <v>168</v>
      </c>
      <c r="AD4" s="236" t="s">
        <v>169</v>
      </c>
      <c r="AE4" s="236" t="s">
        <v>170</v>
      </c>
      <c r="AF4" s="236" t="s">
        <v>171</v>
      </c>
      <c r="AG4" s="236" t="s">
        <v>172</v>
      </c>
      <c r="AH4" s="237" t="s">
        <v>157</v>
      </c>
      <c r="AI4" s="237" t="s">
        <v>158</v>
      </c>
      <c r="AJ4" s="236" t="s">
        <v>173</v>
      </c>
      <c r="AK4" s="236" t="s">
        <v>174</v>
      </c>
      <c r="AL4" s="236" t="s">
        <v>175</v>
      </c>
      <c r="AM4" s="236" t="s">
        <v>176</v>
      </c>
      <c r="AN4" s="236" t="s">
        <v>177</v>
      </c>
      <c r="AO4" s="236" t="s">
        <v>178</v>
      </c>
      <c r="AP4" s="236" t="s">
        <v>165</v>
      </c>
      <c r="AQ4" s="236" t="s">
        <v>179</v>
      </c>
      <c r="AR4" s="236" t="s">
        <v>167</v>
      </c>
      <c r="AS4" s="236" t="s">
        <v>180</v>
      </c>
      <c r="AT4" s="236" t="s">
        <v>181</v>
      </c>
    </row>
    <row r="5" spans="1:46" x14ac:dyDescent="0.4">
      <c r="A5" s="239" t="s">
        <v>182</v>
      </c>
      <c r="B5" s="240">
        <v>4</v>
      </c>
      <c r="C5" s="241" t="s">
        <v>183</v>
      </c>
      <c r="D5" s="242" t="s">
        <v>184</v>
      </c>
      <c r="E5" s="242" t="s">
        <v>185</v>
      </c>
      <c r="F5" s="242">
        <v>1</v>
      </c>
      <c r="G5" s="243" t="e">
        <f>VLOOKUP($B5,pop_lookup,MATCH(baseline_year,year_lookup,0),FALSE)</f>
        <v>#N/A</v>
      </c>
      <c r="H5" s="244" t="e">
        <f>G5*1000</f>
        <v>#N/A</v>
      </c>
      <c r="I5" s="245">
        <v>3.024</v>
      </c>
      <c r="J5" s="245">
        <v>35.253</v>
      </c>
      <c r="K5" s="245">
        <v>396</v>
      </c>
      <c r="L5" s="245">
        <v>35.5</v>
      </c>
      <c r="M5" s="245">
        <v>91.1</v>
      </c>
      <c r="N5" s="246">
        <v>16773.704000000002</v>
      </c>
      <c r="O5" s="246">
        <v>15752.858</v>
      </c>
      <c r="P5" s="242">
        <v>5.9867039504214503</v>
      </c>
      <c r="Q5" s="242">
        <v>15.1337832121039</v>
      </c>
      <c r="R5" s="242">
        <v>43.799461347356498</v>
      </c>
      <c r="S5" s="242">
        <v>65.011389255467904</v>
      </c>
      <c r="T5" s="242">
        <v>17.833288342276699</v>
      </c>
      <c r="U5" s="242">
        <v>28.665678135252701</v>
      </c>
      <c r="V5" s="242">
        <v>56.200538652643402</v>
      </c>
      <c r="W5" s="242">
        <v>21.211927908111399</v>
      </c>
      <c r="X5" s="242">
        <v>47.9865448919332</v>
      </c>
      <c r="Y5" s="242">
        <v>52.499668528787701</v>
      </c>
      <c r="Z5" s="242">
        <v>53.978745541235199</v>
      </c>
      <c r="AA5" s="242">
        <v>26.774616983821801</v>
      </c>
      <c r="AB5" s="242">
        <v>32.7668176331238</v>
      </c>
      <c r="AC5" s="242">
        <v>33.8095807580723</v>
      </c>
      <c r="AD5" s="242">
        <v>8.2139937607102205</v>
      </c>
      <c r="AE5" s="242">
        <v>2.2217931114081901</v>
      </c>
      <c r="AF5" s="242">
        <v>6.0278966521503596</v>
      </c>
      <c r="AG5" s="242">
        <v>15.309945661923701</v>
      </c>
      <c r="AH5" s="242">
        <v>44.300151756589202</v>
      </c>
      <c r="AI5" s="242">
        <v>65.418351387411704</v>
      </c>
      <c r="AJ5" s="242">
        <v>18.091021959316802</v>
      </c>
      <c r="AK5" s="242">
        <v>28.990206094665499</v>
      </c>
      <c r="AL5" s="242">
        <v>55.699848243410798</v>
      </c>
      <c r="AM5" s="242">
        <v>21.118199630822598</v>
      </c>
      <c r="AN5" s="242">
        <v>46.868536490330897</v>
      </c>
      <c r="AO5" s="242">
        <v>51.390255660274498</v>
      </c>
      <c r="AP5" s="242">
        <v>52.967436131272201</v>
      </c>
      <c r="AQ5" s="242">
        <v>25.750336859508302</v>
      </c>
      <c r="AR5" s="242">
        <v>31.849236500449599</v>
      </c>
      <c r="AS5" s="242">
        <v>8.8313117530799801</v>
      </c>
      <c r="AT5" s="241">
        <v>2.7324121121386402</v>
      </c>
    </row>
    <row r="6" spans="1:46" x14ac:dyDescent="0.4">
      <c r="A6" s="247" t="s">
        <v>186</v>
      </c>
      <c r="B6" s="248">
        <v>8</v>
      </c>
      <c r="C6" s="249" t="s">
        <v>187</v>
      </c>
      <c r="D6" s="249" t="s">
        <v>188</v>
      </c>
      <c r="E6" s="249" t="s">
        <v>189</v>
      </c>
      <c r="F6" s="249">
        <v>1</v>
      </c>
      <c r="G6" s="250" t="e">
        <f t="shared" ref="G6:G36" si="0">VLOOKUP($B6,pop_lookup,MATCH(baseline_year,year_lookup,0),FALSE)</f>
        <v>#N/A</v>
      </c>
      <c r="H6" s="250" t="e">
        <f t="shared" ref="H6:H70" si="1">G6*1000</f>
        <v>#N/A</v>
      </c>
      <c r="I6" s="247">
        <v>-3.5999999999999997E-2</v>
      </c>
      <c r="J6" s="247">
        <v>12.877000000000001</v>
      </c>
      <c r="K6" s="247">
        <v>29</v>
      </c>
      <c r="L6" s="247">
        <v>6.2</v>
      </c>
      <c r="M6" s="247">
        <v>14</v>
      </c>
      <c r="N6" s="250">
        <v>1436.82</v>
      </c>
      <c r="O6" s="250">
        <v>1459.8589999999999</v>
      </c>
      <c r="P6" s="249">
        <v>3.0516696593866999</v>
      </c>
      <c r="Q6" s="249">
        <v>6.6946451190824199</v>
      </c>
      <c r="R6" s="249">
        <v>19.4111997327431</v>
      </c>
      <c r="S6" s="249">
        <v>38.394370902409499</v>
      </c>
      <c r="T6" s="249">
        <v>6.8703804234350798</v>
      </c>
      <c r="U6" s="249">
        <v>12.7165546136607</v>
      </c>
      <c r="V6" s="249">
        <v>80.588800267256801</v>
      </c>
      <c r="W6" s="249">
        <v>18.983171169666299</v>
      </c>
      <c r="X6" s="249">
        <v>49.876463300900603</v>
      </c>
      <c r="Y6" s="249">
        <v>63.4184518589663</v>
      </c>
      <c r="Z6" s="249">
        <v>68.781266964546703</v>
      </c>
      <c r="AA6" s="249">
        <v>30.893292131234201</v>
      </c>
      <c r="AB6" s="249">
        <v>49.798095794880297</v>
      </c>
      <c r="AC6" s="249">
        <v>53.896103896103902</v>
      </c>
      <c r="AD6" s="249">
        <v>30.7123369663563</v>
      </c>
      <c r="AE6" s="249">
        <v>11.8075333027101</v>
      </c>
      <c r="AF6" s="249">
        <v>2.7821179990670299</v>
      </c>
      <c r="AG6" s="249">
        <v>6.1175771084741699</v>
      </c>
      <c r="AH6" s="249">
        <v>17.6948595720546</v>
      </c>
      <c r="AI6" s="249">
        <v>35.314848899791002</v>
      </c>
      <c r="AJ6" s="249">
        <v>6.2500556560599296</v>
      </c>
      <c r="AK6" s="249">
        <v>11.577282463580399</v>
      </c>
      <c r="AL6" s="249">
        <v>82.305140427945403</v>
      </c>
      <c r="AM6" s="249">
        <v>17.619989327736398</v>
      </c>
      <c r="AN6" s="249">
        <v>50.128950809632997</v>
      </c>
      <c r="AO6" s="249">
        <v>63.948436116090697</v>
      </c>
      <c r="AP6" s="249">
        <v>69.329298240446505</v>
      </c>
      <c r="AQ6" s="249">
        <v>32.508961481896499</v>
      </c>
      <c r="AR6" s="249">
        <v>51.7093089127101</v>
      </c>
      <c r="AS6" s="249">
        <v>32.176189618312399</v>
      </c>
      <c r="AT6" s="249">
        <v>12.9758421874989</v>
      </c>
    </row>
    <row r="7" spans="1:46" x14ac:dyDescent="0.4">
      <c r="A7" s="251" t="s">
        <v>190</v>
      </c>
      <c r="B7" s="252">
        <v>12</v>
      </c>
      <c r="C7" s="253" t="s">
        <v>191</v>
      </c>
      <c r="D7" s="253" t="s">
        <v>192</v>
      </c>
      <c r="E7" s="253" t="s">
        <v>193</v>
      </c>
      <c r="F7" s="253">
        <v>140.61963786008226</v>
      </c>
      <c r="G7" s="254" t="e">
        <f t="shared" si="0"/>
        <v>#N/A</v>
      </c>
      <c r="H7" s="254" t="e">
        <f t="shared" si="1"/>
        <v>#N/A</v>
      </c>
      <c r="I7" s="251">
        <v>1.92</v>
      </c>
      <c r="J7" s="251">
        <v>24.738</v>
      </c>
      <c r="K7" s="251">
        <v>140</v>
      </c>
      <c r="L7" s="251">
        <v>15.5</v>
      </c>
      <c r="M7" s="251">
        <v>25.5</v>
      </c>
      <c r="N7" s="254">
        <v>19957.603999999999</v>
      </c>
      <c r="O7" s="254">
        <v>19708.915000000001</v>
      </c>
      <c r="P7" s="241">
        <v>4.7757386107069797</v>
      </c>
      <c r="Q7" s="241">
        <v>11.692931676568</v>
      </c>
      <c r="R7" s="241">
        <v>28.816425057837598</v>
      </c>
      <c r="S7" s="241">
        <v>45.604517456103501</v>
      </c>
      <c r="T7" s="241">
        <v>11.327697453061001</v>
      </c>
      <c r="U7" s="241">
        <v>17.123493381269601</v>
      </c>
      <c r="V7" s="241">
        <v>71.183574942162394</v>
      </c>
      <c r="W7" s="241">
        <v>16.7880923982658</v>
      </c>
      <c r="X7" s="241">
        <v>54.281335575152198</v>
      </c>
      <c r="Y7" s="241">
        <v>62.414451153555298</v>
      </c>
      <c r="Z7" s="241">
        <v>65.533162197225707</v>
      </c>
      <c r="AA7" s="241">
        <v>37.493243176886402</v>
      </c>
      <c r="AB7" s="241">
        <v>48.745069798959797</v>
      </c>
      <c r="AC7" s="241">
        <v>50.745820991337403</v>
      </c>
      <c r="AD7" s="241">
        <v>16.9022393670102</v>
      </c>
      <c r="AE7" s="241">
        <v>5.6504127449367196</v>
      </c>
      <c r="AF7" s="241">
        <v>4.66845587390275</v>
      </c>
      <c r="AG7" s="241">
        <v>11.4475302166558</v>
      </c>
      <c r="AH7" s="241">
        <v>28.2574915970768</v>
      </c>
      <c r="AI7" s="241">
        <v>44.720148217190001</v>
      </c>
      <c r="AJ7" s="241">
        <v>11.126568864902</v>
      </c>
      <c r="AK7" s="241">
        <v>16.809961380421001</v>
      </c>
      <c r="AL7" s="241">
        <v>71.742508402923306</v>
      </c>
      <c r="AM7" s="241">
        <v>16.4626566201133</v>
      </c>
      <c r="AN7" s="241">
        <v>54.345376191434198</v>
      </c>
      <c r="AO7" s="241">
        <v>62.493901871310499</v>
      </c>
      <c r="AP7" s="241">
        <v>65.513215719891207</v>
      </c>
      <c r="AQ7" s="241">
        <v>37.882719571320898</v>
      </c>
      <c r="AR7" s="241">
        <v>49.0505590997779</v>
      </c>
      <c r="AS7" s="241">
        <v>17.397132211489101</v>
      </c>
      <c r="AT7" s="241">
        <v>6.2292926830320203</v>
      </c>
    </row>
    <row r="8" spans="1:46" x14ac:dyDescent="0.4">
      <c r="A8" s="247" t="s">
        <v>194</v>
      </c>
      <c r="B8" s="248">
        <v>20</v>
      </c>
      <c r="C8" s="249" t="s">
        <v>195</v>
      </c>
      <c r="D8" s="249" t="s">
        <v>196</v>
      </c>
      <c r="E8" s="249" t="s">
        <v>197</v>
      </c>
      <c r="F8" s="249">
        <v>1.2617355060728741</v>
      </c>
      <c r="G8" s="250" t="e">
        <f t="shared" si="0"/>
        <v>#N/A</v>
      </c>
      <c r="H8" s="250" t="e">
        <f t="shared" si="1"/>
        <v>#N/A</v>
      </c>
      <c r="I8" s="247">
        <v>-3.6110000000000002</v>
      </c>
      <c r="J8" s="247">
        <v>0</v>
      </c>
      <c r="K8" s="247">
        <v>0</v>
      </c>
      <c r="L8" s="247">
        <v>1.4</v>
      </c>
      <c r="M8" s="247">
        <v>2.8</v>
      </c>
      <c r="N8" s="250" t="e">
        <v>#N/A</v>
      </c>
      <c r="O8" s="250" t="e">
        <v>#N/A</v>
      </c>
      <c r="P8" s="249" t="e">
        <v>#N/A</v>
      </c>
      <c r="Q8" s="249" t="e">
        <v>#N/A</v>
      </c>
      <c r="R8" s="249" t="e">
        <v>#N/A</v>
      </c>
      <c r="S8" s="249" t="e">
        <v>#N/A</v>
      </c>
      <c r="T8" s="249" t="e">
        <v>#N/A</v>
      </c>
      <c r="U8" s="249" t="e">
        <v>#N/A</v>
      </c>
      <c r="V8" s="249" t="e">
        <v>#N/A</v>
      </c>
      <c r="W8" s="249" t="e">
        <v>#N/A</v>
      </c>
      <c r="X8" s="249" t="e">
        <v>#N/A</v>
      </c>
      <c r="Y8" s="249" t="e">
        <v>#N/A</v>
      </c>
      <c r="Z8" s="249" t="e">
        <v>#N/A</v>
      </c>
      <c r="AA8" s="249" t="e">
        <v>#N/A</v>
      </c>
      <c r="AB8" s="249" t="e">
        <v>#N/A</v>
      </c>
      <c r="AC8" s="249" t="e">
        <v>#N/A</v>
      </c>
      <c r="AD8" s="249" t="e">
        <v>#N/A</v>
      </c>
      <c r="AE8" s="249" t="e">
        <v>#N/A</v>
      </c>
      <c r="AF8" s="249" t="e">
        <v>#N/A</v>
      </c>
      <c r="AG8" s="249" t="e">
        <v>#N/A</v>
      </c>
      <c r="AH8" s="249" t="e">
        <v>#N/A</v>
      </c>
      <c r="AI8" s="249" t="e">
        <v>#N/A</v>
      </c>
      <c r="AJ8" s="249" t="e">
        <v>#N/A</v>
      </c>
      <c r="AK8" s="249" t="e">
        <v>#N/A</v>
      </c>
      <c r="AL8" s="249" t="e">
        <v>#N/A</v>
      </c>
      <c r="AM8" s="249" t="e">
        <v>#N/A</v>
      </c>
      <c r="AN8" s="249" t="e">
        <v>#N/A</v>
      </c>
      <c r="AO8" s="249" t="e">
        <v>#N/A</v>
      </c>
      <c r="AP8" s="249" t="e">
        <v>#N/A</v>
      </c>
      <c r="AQ8" s="249" t="e">
        <v>#N/A</v>
      </c>
      <c r="AR8" s="249" t="e">
        <v>#N/A</v>
      </c>
      <c r="AS8" s="249" t="e">
        <v>#N/A</v>
      </c>
      <c r="AT8" s="249" t="e">
        <v>#N/A</v>
      </c>
    </row>
    <row r="9" spans="1:46" x14ac:dyDescent="0.4">
      <c r="A9" s="239" t="s">
        <v>198</v>
      </c>
      <c r="B9" s="240">
        <v>24</v>
      </c>
      <c r="C9" s="241" t="s">
        <v>199</v>
      </c>
      <c r="D9" s="241" t="s">
        <v>200</v>
      </c>
      <c r="E9" s="241" t="s">
        <v>201</v>
      </c>
      <c r="F9" s="241">
        <v>1</v>
      </c>
      <c r="G9" s="255" t="e">
        <f t="shared" si="0"/>
        <v>#N/A</v>
      </c>
      <c r="H9" s="255" t="e">
        <f t="shared" si="1"/>
        <v>#N/A</v>
      </c>
      <c r="I9" s="239">
        <v>3.2959999999999998</v>
      </c>
      <c r="J9" s="239">
        <v>45.984999999999999</v>
      </c>
      <c r="K9" s="239">
        <v>477</v>
      </c>
      <c r="L9" s="239">
        <v>48.7</v>
      </c>
      <c r="M9" s="239">
        <v>156.9</v>
      </c>
      <c r="N9" s="255">
        <v>12416.191999999999</v>
      </c>
      <c r="O9" s="255">
        <v>12605.781999999999</v>
      </c>
      <c r="P9" s="241">
        <v>8.0752858847543596</v>
      </c>
      <c r="Q9" s="241">
        <v>19.114894486167699</v>
      </c>
      <c r="R9" s="241">
        <v>48.208871125704199</v>
      </c>
      <c r="S9" s="241">
        <v>67.748122773874599</v>
      </c>
      <c r="T9" s="241">
        <v>18.738539159188299</v>
      </c>
      <c r="U9" s="241">
        <v>29.0939766395365</v>
      </c>
      <c r="V9" s="241">
        <v>51.791128874295701</v>
      </c>
      <c r="W9" s="241">
        <v>19.539251648170399</v>
      </c>
      <c r="X9" s="241">
        <v>44.063904617454398</v>
      </c>
      <c r="Y9" s="241">
        <v>48.288718473425703</v>
      </c>
      <c r="Z9" s="241">
        <v>49.709806356087299</v>
      </c>
      <c r="AA9" s="241">
        <v>24.524652969283999</v>
      </c>
      <c r="AB9" s="241">
        <v>30.170554707916899</v>
      </c>
      <c r="AC9" s="241">
        <v>31.080431101580899</v>
      </c>
      <c r="AD9" s="241">
        <v>7.7272242568413896</v>
      </c>
      <c r="AE9" s="241">
        <v>2.0813225182084798</v>
      </c>
      <c r="AF9" s="241">
        <v>7.83660228298411</v>
      </c>
      <c r="AG9" s="241">
        <v>18.599004805889901</v>
      </c>
      <c r="AH9" s="241">
        <v>47.1004099547335</v>
      </c>
      <c r="AI9" s="241">
        <v>66.516666716908205</v>
      </c>
      <c r="AJ9" s="241">
        <v>18.343153959032399</v>
      </c>
      <c r="AK9" s="241">
        <v>28.501405148843599</v>
      </c>
      <c r="AL9" s="241">
        <v>52.8995900452665</v>
      </c>
      <c r="AM9" s="241">
        <v>19.416256762174701</v>
      </c>
      <c r="AN9" s="241">
        <v>44.184827248321398</v>
      </c>
      <c r="AO9" s="241">
        <v>48.7404986061158</v>
      </c>
      <c r="AP9" s="241">
        <v>50.357462948351802</v>
      </c>
      <c r="AQ9" s="241">
        <v>24.7685704861468</v>
      </c>
      <c r="AR9" s="241">
        <v>30.941206186177102</v>
      </c>
      <c r="AS9" s="241">
        <v>8.7147627969450792</v>
      </c>
      <c r="AT9" s="241">
        <v>2.5421270969147298</v>
      </c>
    </row>
    <row r="10" spans="1:46" x14ac:dyDescent="0.4">
      <c r="A10" s="256" t="s">
        <v>202</v>
      </c>
      <c r="B10" s="257">
        <v>28</v>
      </c>
      <c r="C10" s="258" t="s">
        <v>203</v>
      </c>
      <c r="D10" s="258" t="s">
        <v>204</v>
      </c>
      <c r="E10" s="258" t="s">
        <v>205</v>
      </c>
      <c r="F10" s="258">
        <v>1</v>
      </c>
      <c r="G10" s="259" t="e">
        <f t="shared" si="0"/>
        <v>#N/A</v>
      </c>
      <c r="H10" s="259" t="e">
        <f t="shared" si="1"/>
        <v>#N/A</v>
      </c>
      <c r="I10" s="256">
        <v>1.0249999999999999</v>
      </c>
      <c r="J10" s="256">
        <v>16.446999999999999</v>
      </c>
      <c r="K10" s="256">
        <v>0</v>
      </c>
      <c r="L10" s="256">
        <v>4.9000000000000004</v>
      </c>
      <c r="M10" s="256">
        <v>8.1</v>
      </c>
      <c r="N10" s="259">
        <v>43.889000000000003</v>
      </c>
      <c r="O10" s="259">
        <v>47.929000000000002</v>
      </c>
      <c r="P10" s="249">
        <v>3.3721433616623799</v>
      </c>
      <c r="Q10" s="249">
        <v>8.3369409191369108</v>
      </c>
      <c r="R10" s="249">
        <v>25.350315568821301</v>
      </c>
      <c r="S10" s="249">
        <v>42.956093782041101</v>
      </c>
      <c r="T10" s="249">
        <v>10.0252910752125</v>
      </c>
      <c r="U10" s="249">
        <v>17.013374649684401</v>
      </c>
      <c r="V10" s="249">
        <v>74.649684431178699</v>
      </c>
      <c r="W10" s="249">
        <v>17.6057782132197</v>
      </c>
      <c r="X10" s="249">
        <v>53.334548520130298</v>
      </c>
      <c r="Y10" s="249">
        <v>64.615279454988695</v>
      </c>
      <c r="Z10" s="249">
        <v>68.297295449884899</v>
      </c>
      <c r="AA10" s="249">
        <v>35.728770306910597</v>
      </c>
      <c r="AB10" s="249">
        <v>50.691517236665199</v>
      </c>
      <c r="AC10" s="249">
        <v>52.828727015881</v>
      </c>
      <c r="AD10" s="249">
        <v>21.315135911048301</v>
      </c>
      <c r="AE10" s="249">
        <v>6.3523889812937204</v>
      </c>
      <c r="AF10" s="249">
        <v>3.048258882931</v>
      </c>
      <c r="AG10" s="249">
        <v>7.5549249932191396</v>
      </c>
      <c r="AH10" s="249">
        <v>23.105009493208701</v>
      </c>
      <c r="AI10" s="249">
        <v>39.721254355400703</v>
      </c>
      <c r="AJ10" s="249">
        <v>9.1656408437480401</v>
      </c>
      <c r="AK10" s="249">
        <v>15.5500844999896</v>
      </c>
      <c r="AL10" s="249">
        <v>76.894990506791302</v>
      </c>
      <c r="AM10" s="249">
        <v>16.616244862192001</v>
      </c>
      <c r="AN10" s="249">
        <v>53.927684700285802</v>
      </c>
      <c r="AO10" s="249">
        <v>65.486448705376702</v>
      </c>
      <c r="AP10" s="249">
        <v>68.987460618832003</v>
      </c>
      <c r="AQ10" s="249">
        <v>37.311439838093797</v>
      </c>
      <c r="AR10" s="249">
        <v>52.371215756639998</v>
      </c>
      <c r="AS10" s="249">
        <v>22.9673058065055</v>
      </c>
      <c r="AT10" s="249">
        <v>7.9075298879592699</v>
      </c>
    </row>
    <row r="11" spans="1:46" x14ac:dyDescent="0.4">
      <c r="A11" s="245" t="s">
        <v>206</v>
      </c>
      <c r="B11" s="260">
        <v>32</v>
      </c>
      <c r="C11" s="242" t="s">
        <v>207</v>
      </c>
      <c r="D11" s="242" t="s">
        <v>208</v>
      </c>
      <c r="E11" s="242" t="s">
        <v>209</v>
      </c>
      <c r="F11" s="245">
        <v>1</v>
      </c>
      <c r="G11" s="246" t="e">
        <f t="shared" si="0"/>
        <v>#N/A</v>
      </c>
      <c r="H11" s="246" t="e">
        <f t="shared" si="1"/>
        <v>#N/A</v>
      </c>
      <c r="I11" s="245">
        <v>1.0369999999999999</v>
      </c>
      <c r="J11" s="245">
        <v>17.716000000000001</v>
      </c>
      <c r="K11" s="245">
        <v>52</v>
      </c>
      <c r="L11" s="245">
        <v>6.3</v>
      </c>
      <c r="M11" s="245">
        <v>12.5</v>
      </c>
      <c r="N11" s="246">
        <v>21244.702000000001</v>
      </c>
      <c r="O11" s="246">
        <v>22172.053</v>
      </c>
      <c r="P11" s="241">
        <v>3.5998904573949799</v>
      </c>
      <c r="Q11" s="241">
        <v>8.9044270896339306</v>
      </c>
      <c r="R11" s="241">
        <v>26.187041832829699</v>
      </c>
      <c r="S11" s="241">
        <v>42.6644628858527</v>
      </c>
      <c r="T11" s="241">
        <v>10.439882847027</v>
      </c>
      <c r="U11" s="241">
        <v>17.282614743195701</v>
      </c>
      <c r="V11" s="241">
        <v>73.812958167170393</v>
      </c>
      <c r="W11" s="241">
        <v>16.477421053023001</v>
      </c>
      <c r="X11" s="241">
        <v>51.264847113412102</v>
      </c>
      <c r="Y11" s="241">
        <v>60.855558246945499</v>
      </c>
      <c r="Z11" s="241">
        <v>64.843536049599606</v>
      </c>
      <c r="AA11" s="241">
        <v>34.787426060389102</v>
      </c>
      <c r="AB11" s="241">
        <v>48.366114996576599</v>
      </c>
      <c r="AC11" s="241">
        <v>51.606320484043501</v>
      </c>
      <c r="AD11" s="241">
        <v>22.548111053758301</v>
      </c>
      <c r="AE11" s="241">
        <v>8.9694221175707707</v>
      </c>
      <c r="AF11" s="241">
        <v>3.3293082963494598</v>
      </c>
      <c r="AG11" s="241">
        <v>8.2374915845636796</v>
      </c>
      <c r="AH11" s="241">
        <v>24.242879087471099</v>
      </c>
      <c r="AI11" s="241">
        <v>39.551344207954003</v>
      </c>
      <c r="AJ11" s="241">
        <v>9.6658527742108493</v>
      </c>
      <c r="AK11" s="241">
        <v>16.0053875029074</v>
      </c>
      <c r="AL11" s="241">
        <v>75.757120912528904</v>
      </c>
      <c r="AM11" s="241">
        <v>15.308465120483</v>
      </c>
      <c r="AN11" s="241">
        <v>48.729172711250499</v>
      </c>
      <c r="AO11" s="241">
        <v>58.588602507850702</v>
      </c>
      <c r="AP11" s="241">
        <v>62.955293314516197</v>
      </c>
      <c r="AQ11" s="241">
        <v>33.420707590767499</v>
      </c>
      <c r="AR11" s="241">
        <v>47.646828194033297</v>
      </c>
      <c r="AS11" s="241">
        <v>27.027948201278399</v>
      </c>
      <c r="AT11" s="241">
        <v>12.8018275980127</v>
      </c>
    </row>
    <row r="12" spans="1:46" x14ac:dyDescent="0.4">
      <c r="A12" s="247" t="s">
        <v>210</v>
      </c>
      <c r="B12" s="248">
        <v>51</v>
      </c>
      <c r="C12" s="249" t="s">
        <v>211</v>
      </c>
      <c r="D12" s="249" t="s">
        <v>212</v>
      </c>
      <c r="E12" s="249" t="s">
        <v>213</v>
      </c>
      <c r="F12" s="247">
        <v>1</v>
      </c>
      <c r="G12" s="250" t="e">
        <f t="shared" si="0"/>
        <v>#N/A</v>
      </c>
      <c r="H12" s="250" t="e">
        <f t="shared" si="1"/>
        <v>#N/A</v>
      </c>
      <c r="I12" s="247">
        <v>0.36299999999999999</v>
      </c>
      <c r="J12" s="247">
        <v>13.308</v>
      </c>
      <c r="K12" s="247">
        <v>25</v>
      </c>
      <c r="L12" s="247">
        <v>7.4</v>
      </c>
      <c r="M12" s="247">
        <v>14.1</v>
      </c>
      <c r="N12" s="250">
        <v>1399.511</v>
      </c>
      <c r="O12" s="250">
        <v>1618.201</v>
      </c>
      <c r="P12" s="249">
        <v>3.02834347139822</v>
      </c>
      <c r="Q12" s="249">
        <v>7.6143738777330103</v>
      </c>
      <c r="R12" s="249">
        <v>20.528527464235701</v>
      </c>
      <c r="S12" s="249">
        <v>35.566637203994802</v>
      </c>
      <c r="T12" s="249">
        <v>8.2032224112564993</v>
      </c>
      <c r="U12" s="249">
        <v>12.9141535865027</v>
      </c>
      <c r="V12" s="249">
        <v>79.471472535764306</v>
      </c>
      <c r="W12" s="249">
        <v>15.038109739759101</v>
      </c>
      <c r="X12" s="249">
        <v>50.777164309533802</v>
      </c>
      <c r="Y12" s="249">
        <v>65.326389003016104</v>
      </c>
      <c r="Z12" s="249">
        <v>70.419525105554698</v>
      </c>
      <c r="AA12" s="249">
        <v>35.739054569774702</v>
      </c>
      <c r="AB12" s="249">
        <v>55.381415365795597</v>
      </c>
      <c r="AC12" s="249">
        <v>58.349737872728397</v>
      </c>
      <c r="AD12" s="249">
        <v>28.6943082262305</v>
      </c>
      <c r="AE12" s="249">
        <v>9.0519474302095499</v>
      </c>
      <c r="AF12" s="249">
        <v>2.4347408016680299</v>
      </c>
      <c r="AG12" s="249">
        <v>6.2217240009121202</v>
      </c>
      <c r="AH12" s="249">
        <v>16.529096200039401</v>
      </c>
      <c r="AI12" s="249">
        <v>30.468093889448799</v>
      </c>
      <c r="AJ12" s="249">
        <v>6.63533145758778</v>
      </c>
      <c r="AK12" s="249">
        <v>10.3073721991273</v>
      </c>
      <c r="AL12" s="249">
        <v>83.470903799960595</v>
      </c>
      <c r="AM12" s="249">
        <v>13.938997689409399</v>
      </c>
      <c r="AN12" s="249">
        <v>49.720708366883997</v>
      </c>
      <c r="AO12" s="249">
        <v>65.233243583460904</v>
      </c>
      <c r="AP12" s="249">
        <v>71.110634587421501</v>
      </c>
      <c r="AQ12" s="249">
        <v>35.781710677474599</v>
      </c>
      <c r="AR12" s="249">
        <v>57.171636898012103</v>
      </c>
      <c r="AS12" s="249">
        <v>33.750195433076598</v>
      </c>
      <c r="AT12" s="249">
        <v>12.3602692125391</v>
      </c>
    </row>
    <row r="13" spans="1:46" x14ac:dyDescent="0.4">
      <c r="A13" s="251" t="s">
        <v>214</v>
      </c>
      <c r="B13" s="252">
        <v>36</v>
      </c>
      <c r="C13" s="253" t="s">
        <v>215</v>
      </c>
      <c r="D13" s="253" t="s">
        <v>216</v>
      </c>
      <c r="E13" s="253" t="s">
        <v>217</v>
      </c>
      <c r="F13" s="251">
        <v>1.8631010330578528</v>
      </c>
      <c r="G13" s="254" t="e">
        <f t="shared" si="0"/>
        <v>#N/A</v>
      </c>
      <c r="H13" s="254" t="e">
        <f t="shared" si="1"/>
        <v>#N/A</v>
      </c>
      <c r="I13" s="251">
        <v>1.5669999999999999</v>
      </c>
      <c r="J13" s="251">
        <v>13.2</v>
      </c>
      <c r="K13" s="251">
        <v>6</v>
      </c>
      <c r="L13" s="251">
        <v>2.2000000000000002</v>
      </c>
      <c r="M13" s="251">
        <v>3.8</v>
      </c>
      <c r="N13" s="254">
        <v>11975.934999999999</v>
      </c>
      <c r="O13" s="254">
        <v>11993.038</v>
      </c>
      <c r="P13" s="241">
        <v>2.5863784330826798</v>
      </c>
      <c r="Q13" s="241">
        <v>6.6308225620797003</v>
      </c>
      <c r="R13" s="241">
        <v>19.213664736824299</v>
      </c>
      <c r="S13" s="241">
        <v>32.882843803009997</v>
      </c>
      <c r="T13" s="241">
        <v>7.7711510625266396</v>
      </c>
      <c r="U13" s="241">
        <v>12.5828421747446</v>
      </c>
      <c r="V13" s="241">
        <v>80.786335263175701</v>
      </c>
      <c r="W13" s="241">
        <v>13.669179066185601</v>
      </c>
      <c r="X13" s="241">
        <v>48.6207047716942</v>
      </c>
      <c r="Y13" s="241">
        <v>61.3844180016007</v>
      </c>
      <c r="Z13" s="241">
        <v>66.653092222026899</v>
      </c>
      <c r="AA13" s="241">
        <v>34.951525705508601</v>
      </c>
      <c r="AB13" s="241">
        <v>52.9839131558413</v>
      </c>
      <c r="AC13" s="241">
        <v>57.940528234329904</v>
      </c>
      <c r="AD13" s="241">
        <v>32.165630491481501</v>
      </c>
      <c r="AE13" s="241">
        <v>14.1332430411488</v>
      </c>
      <c r="AF13" s="241">
        <v>2.4557914349975398</v>
      </c>
      <c r="AG13" s="241">
        <v>6.2692038497668401</v>
      </c>
      <c r="AH13" s="241">
        <v>18.183249315144302</v>
      </c>
      <c r="AI13" s="241">
        <v>30.940158782120101</v>
      </c>
      <c r="AJ13" s="241">
        <v>7.3469541245512602</v>
      </c>
      <c r="AK13" s="241">
        <v>11.9140454653775</v>
      </c>
      <c r="AL13" s="241">
        <v>81.816750684855705</v>
      </c>
      <c r="AM13" s="241">
        <v>12.756909466975801</v>
      </c>
      <c r="AN13" s="241">
        <v>47.577652968330497</v>
      </c>
      <c r="AO13" s="241">
        <v>60.442900289317798</v>
      </c>
      <c r="AP13" s="241">
        <v>65.861544005780701</v>
      </c>
      <c r="AQ13" s="241">
        <v>34.820743501354698</v>
      </c>
      <c r="AR13" s="241">
        <v>53.104634538804902</v>
      </c>
      <c r="AS13" s="241">
        <v>34.239097716525201</v>
      </c>
      <c r="AT13" s="241">
        <v>15.955206679074999</v>
      </c>
    </row>
    <row r="14" spans="1:46" x14ac:dyDescent="0.4">
      <c r="A14" s="247" t="s">
        <v>218</v>
      </c>
      <c r="B14" s="248">
        <v>40</v>
      </c>
      <c r="C14" s="249" t="s">
        <v>219</v>
      </c>
      <c r="D14" s="249" t="s">
        <v>196</v>
      </c>
      <c r="E14" s="249" t="s">
        <v>197</v>
      </c>
      <c r="F14" s="247">
        <v>1.2617355060728741</v>
      </c>
      <c r="G14" s="250" t="e">
        <f t="shared" si="0"/>
        <v>#N/A</v>
      </c>
      <c r="H14" s="250" t="e">
        <f t="shared" si="1"/>
        <v>#N/A</v>
      </c>
      <c r="I14" s="247">
        <v>0.36</v>
      </c>
      <c r="J14" s="247">
        <v>9.4</v>
      </c>
      <c r="K14" s="247">
        <v>4</v>
      </c>
      <c r="L14" s="247">
        <v>2.1</v>
      </c>
      <c r="M14" s="247">
        <v>3.5</v>
      </c>
      <c r="N14" s="250">
        <v>4196.3209999999999</v>
      </c>
      <c r="O14" s="250">
        <v>4348.2650000000003</v>
      </c>
      <c r="P14" s="249">
        <v>1.99910826650297</v>
      </c>
      <c r="Q14" s="249">
        <v>4.93954108849156</v>
      </c>
      <c r="R14" s="249">
        <v>14.792695792338099</v>
      </c>
      <c r="S14" s="249">
        <v>27.017928323405201</v>
      </c>
      <c r="T14" s="249">
        <v>5.8186683049271002</v>
      </c>
      <c r="U14" s="249">
        <v>9.8531547038465401</v>
      </c>
      <c r="V14" s="249">
        <v>85.207304207661906</v>
      </c>
      <c r="W14" s="249">
        <v>12.2252325310671</v>
      </c>
      <c r="X14" s="249">
        <v>47.933558943655598</v>
      </c>
      <c r="Y14" s="249">
        <v>63.362645517347197</v>
      </c>
      <c r="Z14" s="249">
        <v>68.664694621788996</v>
      </c>
      <c r="AA14" s="249">
        <v>35.708326412588598</v>
      </c>
      <c r="AB14" s="249">
        <v>56.439462090721797</v>
      </c>
      <c r="AC14" s="249">
        <v>61.3281729400587</v>
      </c>
      <c r="AD14" s="249">
        <v>37.273745264006301</v>
      </c>
      <c r="AE14" s="249">
        <v>16.542609585872999</v>
      </c>
      <c r="AF14" s="249">
        <v>1.8353757188211799</v>
      </c>
      <c r="AG14" s="249">
        <v>4.5209526098340396</v>
      </c>
      <c r="AH14" s="249">
        <v>13.64302773635</v>
      </c>
      <c r="AI14" s="249">
        <v>24.8785895063893</v>
      </c>
      <c r="AJ14" s="249">
        <v>5.3571022005328599</v>
      </c>
      <c r="AK14" s="249">
        <v>9.1220751265159805</v>
      </c>
      <c r="AL14" s="249">
        <v>86.356972263649993</v>
      </c>
      <c r="AM14" s="249">
        <v>11.2355617700393</v>
      </c>
      <c r="AN14" s="249">
        <v>45.501182655610897</v>
      </c>
      <c r="AO14" s="249">
        <v>59.977600261253599</v>
      </c>
      <c r="AP14" s="249">
        <v>65.458774936670096</v>
      </c>
      <c r="AQ14" s="249">
        <v>34.2656208855716</v>
      </c>
      <c r="AR14" s="249">
        <v>54.223213166630799</v>
      </c>
      <c r="AS14" s="249">
        <v>40.855789608039103</v>
      </c>
      <c r="AT14" s="249">
        <v>20.898197326979801</v>
      </c>
    </row>
    <row r="15" spans="1:46" x14ac:dyDescent="0.4">
      <c r="A15" s="239" t="s">
        <v>220</v>
      </c>
      <c r="B15" s="240">
        <v>31</v>
      </c>
      <c r="C15" s="241" t="s">
        <v>221</v>
      </c>
      <c r="D15" s="241" t="s">
        <v>222</v>
      </c>
      <c r="E15" s="241" t="s">
        <v>223</v>
      </c>
      <c r="F15" s="239">
        <v>1</v>
      </c>
      <c r="G15" s="255" t="e">
        <f t="shared" si="0"/>
        <v>#N/A</v>
      </c>
      <c r="H15" s="255" t="e">
        <f t="shared" si="1"/>
        <v>#N/A</v>
      </c>
      <c r="I15" s="239">
        <v>1.3879999999999999</v>
      </c>
      <c r="J15" s="239">
        <v>18.3</v>
      </c>
      <c r="K15" s="239">
        <v>25</v>
      </c>
      <c r="L15" s="239">
        <v>18.2</v>
      </c>
      <c r="M15" s="239">
        <v>31.7</v>
      </c>
      <c r="N15" s="255">
        <v>4855.5460000000003</v>
      </c>
      <c r="O15" s="255">
        <v>4898.4219999999996</v>
      </c>
      <c r="P15" s="241">
        <v>4.8784832848870101</v>
      </c>
      <c r="Q15" s="241">
        <v>10.4067184205443</v>
      </c>
      <c r="R15" s="241">
        <v>23.587563581932901</v>
      </c>
      <c r="S15" s="241">
        <v>40.889901980127497</v>
      </c>
      <c r="T15" s="241">
        <v>7.9993681452096199</v>
      </c>
      <c r="U15" s="241">
        <v>13.1808451613886</v>
      </c>
      <c r="V15" s="241">
        <v>76.412436418067102</v>
      </c>
      <c r="W15" s="241">
        <v>17.3023383981946</v>
      </c>
      <c r="X15" s="241">
        <v>54.847817320647401</v>
      </c>
      <c r="Y15" s="241">
        <v>67.562885821697506</v>
      </c>
      <c r="Z15" s="241">
        <v>71.722273869921096</v>
      </c>
      <c r="AA15" s="241">
        <v>37.545478922452801</v>
      </c>
      <c r="AB15" s="241">
        <v>54.419935471726603</v>
      </c>
      <c r="AC15" s="241">
        <v>55.627297115504597</v>
      </c>
      <c r="AD15" s="241">
        <v>21.564619097419701</v>
      </c>
      <c r="AE15" s="241">
        <v>4.6901625481459801</v>
      </c>
      <c r="AF15" s="241">
        <v>4.0091074227577801</v>
      </c>
      <c r="AG15" s="241">
        <v>8.6787132672521903</v>
      </c>
      <c r="AH15" s="241">
        <v>20.2641381244817</v>
      </c>
      <c r="AI15" s="241">
        <v>36.0868867565922</v>
      </c>
      <c r="AJ15" s="241">
        <v>7.0193217325906199</v>
      </c>
      <c r="AK15" s="241">
        <v>11.5854248572295</v>
      </c>
      <c r="AL15" s="241">
        <v>79.735861875518296</v>
      </c>
      <c r="AM15" s="241">
        <v>15.8227486321105</v>
      </c>
      <c r="AN15" s="241">
        <v>54.827840475973701</v>
      </c>
      <c r="AO15" s="241">
        <v>68.504898108003005</v>
      </c>
      <c r="AP15" s="241">
        <v>73.182036990688005</v>
      </c>
      <c r="AQ15" s="241">
        <v>39.005091843863198</v>
      </c>
      <c r="AR15" s="241">
        <v>57.359288358577501</v>
      </c>
      <c r="AS15" s="241">
        <v>24.908021399544602</v>
      </c>
      <c r="AT15" s="241">
        <v>6.5538248848302603</v>
      </c>
    </row>
    <row r="16" spans="1:46" x14ac:dyDescent="0.4">
      <c r="A16" s="256" t="s">
        <v>224</v>
      </c>
      <c r="B16" s="257">
        <v>44</v>
      </c>
      <c r="C16" s="258" t="s">
        <v>225</v>
      </c>
      <c r="D16" s="258" t="s">
        <v>226</v>
      </c>
      <c r="E16" s="258" t="s">
        <v>227</v>
      </c>
      <c r="F16" s="256">
        <v>1</v>
      </c>
      <c r="G16" s="259" t="e">
        <f t="shared" si="0"/>
        <v>#N/A</v>
      </c>
      <c r="H16" s="259" t="e">
        <f t="shared" si="1"/>
        <v>#N/A</v>
      </c>
      <c r="I16" s="256">
        <v>1.4530000000000001</v>
      </c>
      <c r="J16" s="256">
        <v>15.339</v>
      </c>
      <c r="K16" s="256">
        <v>80</v>
      </c>
      <c r="L16" s="256">
        <v>6.9</v>
      </c>
      <c r="M16" s="256">
        <v>12.1</v>
      </c>
      <c r="N16" s="259">
        <v>189.95699999999999</v>
      </c>
      <c r="O16" s="259">
        <v>198.06200000000001</v>
      </c>
      <c r="P16" s="249">
        <v>3.1233384397521502</v>
      </c>
      <c r="Q16" s="249">
        <v>7.8654642892865203</v>
      </c>
      <c r="R16" s="249">
        <v>21.8723184720753</v>
      </c>
      <c r="S16" s="249">
        <v>39.074106245097603</v>
      </c>
      <c r="T16" s="249">
        <v>8.6530109445821903</v>
      </c>
      <c r="U16" s="249">
        <v>14.0068541827887</v>
      </c>
      <c r="V16" s="249">
        <v>78.127681527924693</v>
      </c>
      <c r="W16" s="249">
        <v>17.2017877730223</v>
      </c>
      <c r="X16" s="249">
        <v>55.178803623978098</v>
      </c>
      <c r="Y16" s="249">
        <v>67.012534415683604</v>
      </c>
      <c r="Z16" s="249">
        <v>71.002911185163001</v>
      </c>
      <c r="AA16" s="249">
        <v>37.977015850955702</v>
      </c>
      <c r="AB16" s="249">
        <v>53.801123412140598</v>
      </c>
      <c r="AC16" s="249">
        <v>56.680722479297899</v>
      </c>
      <c r="AD16" s="249">
        <v>22.948877903946698</v>
      </c>
      <c r="AE16" s="249">
        <v>7.1247703427617797</v>
      </c>
      <c r="AF16" s="249">
        <v>2.8263876967818198</v>
      </c>
      <c r="AG16" s="249">
        <v>7.1548303056618598</v>
      </c>
      <c r="AH16" s="249">
        <v>20.008886106370699</v>
      </c>
      <c r="AI16" s="249">
        <v>36.2548091001808</v>
      </c>
      <c r="AJ16" s="249">
        <v>7.9268107966192396</v>
      </c>
      <c r="AK16" s="249">
        <v>12.854055800708901</v>
      </c>
      <c r="AL16" s="249">
        <v>79.991113893629304</v>
      </c>
      <c r="AM16" s="249">
        <v>16.245922993810002</v>
      </c>
      <c r="AN16" s="249">
        <v>53.4443760034737</v>
      </c>
      <c r="AO16" s="249">
        <v>66.083347638618207</v>
      </c>
      <c r="AP16" s="249">
        <v>70.602134685098605</v>
      </c>
      <c r="AQ16" s="249">
        <v>37.198453009663702</v>
      </c>
      <c r="AR16" s="249">
        <v>54.3562116912886</v>
      </c>
      <c r="AS16" s="249">
        <v>26.546737890155601</v>
      </c>
      <c r="AT16" s="249">
        <v>9.3889792085306691</v>
      </c>
    </row>
    <row r="17" spans="1:46" x14ac:dyDescent="0.4">
      <c r="A17" s="245" t="s">
        <v>228</v>
      </c>
      <c r="B17" s="260">
        <v>48</v>
      </c>
      <c r="C17" s="242" t="s">
        <v>229</v>
      </c>
      <c r="D17" s="242" t="s">
        <v>230</v>
      </c>
      <c r="E17" s="242" t="s">
        <v>231</v>
      </c>
      <c r="F17" s="245">
        <v>0.52598731707317059</v>
      </c>
      <c r="G17" s="246" t="e">
        <f t="shared" si="0"/>
        <v>#N/A</v>
      </c>
      <c r="H17" s="246" t="e">
        <f t="shared" si="1"/>
        <v>#N/A</v>
      </c>
      <c r="I17" s="245">
        <v>1.758</v>
      </c>
      <c r="J17" s="245">
        <v>15.04</v>
      </c>
      <c r="K17" s="245">
        <v>15</v>
      </c>
      <c r="L17" s="245">
        <v>1.1000000000000001</v>
      </c>
      <c r="M17" s="245">
        <v>6.2</v>
      </c>
      <c r="N17" s="246">
        <v>853.60699999999997</v>
      </c>
      <c r="O17" s="246">
        <v>523.63</v>
      </c>
      <c r="P17" s="241">
        <v>2.5913564438904602</v>
      </c>
      <c r="Q17" s="241">
        <v>6.5507897662507499</v>
      </c>
      <c r="R17" s="241">
        <v>17.719864059221599</v>
      </c>
      <c r="S17" s="241">
        <v>32.590056079671299</v>
      </c>
      <c r="T17" s="241">
        <v>7.0874535939841197</v>
      </c>
      <c r="U17" s="241">
        <v>11.169074292970899</v>
      </c>
      <c r="V17" s="241">
        <v>82.280135940778393</v>
      </c>
      <c r="W17" s="241">
        <v>14.8701920204497</v>
      </c>
      <c r="X17" s="241">
        <v>69.996145767314502</v>
      </c>
      <c r="Y17" s="241">
        <v>78.890402726313198</v>
      </c>
      <c r="Z17" s="241">
        <v>80.221343077083503</v>
      </c>
      <c r="AA17" s="241">
        <v>55.125953746864802</v>
      </c>
      <c r="AB17" s="241">
        <v>65.351151056633796</v>
      </c>
      <c r="AC17" s="241">
        <v>66.321738223796203</v>
      </c>
      <c r="AD17" s="241">
        <v>12.2839901734639</v>
      </c>
      <c r="AE17" s="241">
        <v>2.0587928636948898</v>
      </c>
      <c r="AF17" s="241">
        <v>4.0895288658021904</v>
      </c>
      <c r="AG17" s="241">
        <v>10.085365620762801</v>
      </c>
      <c r="AH17" s="241">
        <v>27.596394400626401</v>
      </c>
      <c r="AI17" s="241">
        <v>43.421117964975302</v>
      </c>
      <c r="AJ17" s="241">
        <v>10.9989878349216</v>
      </c>
      <c r="AK17" s="241">
        <v>17.5110287798637</v>
      </c>
      <c r="AL17" s="241">
        <v>72.403605599373606</v>
      </c>
      <c r="AM17" s="241">
        <v>15.824723564348901</v>
      </c>
      <c r="AN17" s="241">
        <v>59.099364054771499</v>
      </c>
      <c r="AO17" s="241">
        <v>67.746882340583994</v>
      </c>
      <c r="AP17" s="241">
        <v>69.418864465366795</v>
      </c>
      <c r="AQ17" s="241">
        <v>43.274640490422598</v>
      </c>
      <c r="AR17" s="241">
        <v>53.594140901017902</v>
      </c>
      <c r="AS17" s="241">
        <v>13.3042415446021</v>
      </c>
      <c r="AT17" s="241">
        <v>2.9847411340068399</v>
      </c>
    </row>
    <row r="18" spans="1:46" x14ac:dyDescent="0.4">
      <c r="A18" s="247" t="s">
        <v>232</v>
      </c>
      <c r="B18" s="248">
        <v>50</v>
      </c>
      <c r="C18" s="249" t="s">
        <v>233</v>
      </c>
      <c r="D18" s="249" t="s">
        <v>234</v>
      </c>
      <c r="E18" s="249" t="s">
        <v>235</v>
      </c>
      <c r="F18" s="247">
        <v>1</v>
      </c>
      <c r="G18" s="250" t="e">
        <f t="shared" si="0"/>
        <v>#N/A</v>
      </c>
      <c r="H18" s="250" t="e">
        <f t="shared" si="1"/>
        <v>#N/A</v>
      </c>
      <c r="I18" s="247">
        <v>1.2</v>
      </c>
      <c r="J18" s="247">
        <v>20.141999999999999</v>
      </c>
      <c r="K18" s="247">
        <v>176</v>
      </c>
      <c r="L18" s="247">
        <v>23.3</v>
      </c>
      <c r="M18" s="247">
        <v>37.6</v>
      </c>
      <c r="N18" s="250">
        <v>81276.964999999997</v>
      </c>
      <c r="O18" s="250">
        <v>79718.676999999996</v>
      </c>
      <c r="P18" s="249">
        <v>3.882503486689</v>
      </c>
      <c r="Q18" s="249">
        <v>9.6322211342414192</v>
      </c>
      <c r="R18" s="249">
        <v>29.776321003128</v>
      </c>
      <c r="S18" s="249">
        <v>49.404792612519401</v>
      </c>
      <c r="T18" s="249">
        <v>11.8703927982547</v>
      </c>
      <c r="U18" s="249">
        <v>20.144099868886599</v>
      </c>
      <c r="V18" s="249">
        <v>70.223678996871996</v>
      </c>
      <c r="W18" s="249">
        <v>19.628471609391401</v>
      </c>
      <c r="X18" s="249">
        <v>55.407410943555803</v>
      </c>
      <c r="Y18" s="249">
        <v>63.168838797068801</v>
      </c>
      <c r="Z18" s="249">
        <v>65.2296748531395</v>
      </c>
      <c r="AA18" s="249">
        <v>35.778939334164399</v>
      </c>
      <c r="AB18" s="249">
        <v>45.601203243748103</v>
      </c>
      <c r="AC18" s="249">
        <v>47.390120927866803</v>
      </c>
      <c r="AD18" s="249">
        <v>14.8162680533162</v>
      </c>
      <c r="AE18" s="249">
        <v>4.9940041437324796</v>
      </c>
      <c r="AF18" s="249">
        <v>3.7909648199505401</v>
      </c>
      <c r="AG18" s="249">
        <v>9.4113039532755902</v>
      </c>
      <c r="AH18" s="249">
        <v>29.111190593391299</v>
      </c>
      <c r="AI18" s="249">
        <v>48.423149320453497</v>
      </c>
      <c r="AJ18" s="249">
        <v>11.6131330177494</v>
      </c>
      <c r="AK18" s="249">
        <v>19.6998866401157</v>
      </c>
      <c r="AL18" s="249">
        <v>70.888809406608701</v>
      </c>
      <c r="AM18" s="249">
        <v>19.311958727062201</v>
      </c>
      <c r="AN18" s="249">
        <v>56.451344519929798</v>
      </c>
      <c r="AO18" s="249">
        <v>63.988574471701298</v>
      </c>
      <c r="AP18" s="249">
        <v>65.936100520082604</v>
      </c>
      <c r="AQ18" s="249">
        <v>37.1393857928676</v>
      </c>
      <c r="AR18" s="249">
        <v>46.624141793020499</v>
      </c>
      <c r="AS18" s="249">
        <v>14.437464886678899</v>
      </c>
      <c r="AT18" s="249">
        <v>4.9527088865260502</v>
      </c>
    </row>
    <row r="19" spans="1:46" x14ac:dyDescent="0.4">
      <c r="A19" s="251" t="s">
        <v>236</v>
      </c>
      <c r="B19" s="252">
        <v>52</v>
      </c>
      <c r="C19" s="253" t="s">
        <v>237</v>
      </c>
      <c r="D19" s="253" t="s">
        <v>238</v>
      </c>
      <c r="E19" s="253" t="s">
        <v>239</v>
      </c>
      <c r="F19" s="251">
        <v>1</v>
      </c>
      <c r="G19" s="254" t="e">
        <f t="shared" si="0"/>
        <v>#N/A</v>
      </c>
      <c r="H19" s="254" t="e">
        <f t="shared" si="1"/>
        <v>#N/A</v>
      </c>
      <c r="I19" s="251">
        <v>0.33</v>
      </c>
      <c r="J19" s="251">
        <v>12.188000000000001</v>
      </c>
      <c r="K19" s="251">
        <v>27</v>
      </c>
      <c r="L19" s="251">
        <v>8</v>
      </c>
      <c r="M19" s="251">
        <v>13</v>
      </c>
      <c r="N19" s="254">
        <v>136.17599999999999</v>
      </c>
      <c r="O19" s="254">
        <v>148.03899999999999</v>
      </c>
      <c r="P19" s="241">
        <v>2.5063153565973399</v>
      </c>
      <c r="Q19" s="241">
        <v>6.4534132299377296</v>
      </c>
      <c r="R19" s="241">
        <v>20.665168605334301</v>
      </c>
      <c r="S19" s="241">
        <v>34.1572670661497</v>
      </c>
      <c r="T19" s="241">
        <v>8.4398131829397194</v>
      </c>
      <c r="U19" s="241">
        <v>14.2117553753965</v>
      </c>
      <c r="V19" s="241">
        <v>79.334831394665699</v>
      </c>
      <c r="W19" s="241">
        <v>13.4920984608154</v>
      </c>
      <c r="X19" s="241">
        <v>47.456967453883202</v>
      </c>
      <c r="Y19" s="241">
        <v>61.272911526260103</v>
      </c>
      <c r="Z19" s="241">
        <v>66.774615203853799</v>
      </c>
      <c r="AA19" s="241">
        <v>33.964868993067803</v>
      </c>
      <c r="AB19" s="241">
        <v>53.2825167430384</v>
      </c>
      <c r="AC19" s="241">
        <v>57.815620961109197</v>
      </c>
      <c r="AD19" s="241">
        <v>31.8778639407825</v>
      </c>
      <c r="AE19" s="241">
        <v>12.5602161908119</v>
      </c>
      <c r="AF19" s="241">
        <v>2.27169867399807</v>
      </c>
      <c r="AG19" s="241">
        <v>5.7903660521889497</v>
      </c>
      <c r="AH19" s="241">
        <v>18.170887401292902</v>
      </c>
      <c r="AI19" s="241">
        <v>30.489938462162002</v>
      </c>
      <c r="AJ19" s="241">
        <v>7.3622491370517196</v>
      </c>
      <c r="AK19" s="241">
        <v>12.380521349104001</v>
      </c>
      <c r="AL19" s="241">
        <v>81.829112598707098</v>
      </c>
      <c r="AM19" s="241">
        <v>12.3190510608691</v>
      </c>
      <c r="AN19" s="241">
        <v>45.907497348671598</v>
      </c>
      <c r="AO19" s="241">
        <v>60.388140962854401</v>
      </c>
      <c r="AP19" s="241">
        <v>66.189990475482801</v>
      </c>
      <c r="AQ19" s="241">
        <v>33.588446287802498</v>
      </c>
      <c r="AR19" s="241">
        <v>53.870939414613702</v>
      </c>
      <c r="AS19" s="241">
        <v>35.921615250035501</v>
      </c>
      <c r="AT19" s="241">
        <v>15.639122123224301</v>
      </c>
    </row>
    <row r="20" spans="1:46" x14ac:dyDescent="0.4">
      <c r="A20" s="247" t="s">
        <v>240</v>
      </c>
      <c r="B20" s="248">
        <v>112</v>
      </c>
      <c r="C20" s="249" t="s">
        <v>241</v>
      </c>
      <c r="D20" s="249" t="s">
        <v>242</v>
      </c>
      <c r="E20" s="249" t="s">
        <v>243</v>
      </c>
      <c r="F20" s="247">
        <v>1</v>
      </c>
      <c r="G20" s="250" t="e">
        <f t="shared" si="0"/>
        <v>#N/A</v>
      </c>
      <c r="H20" s="250" t="e">
        <f t="shared" si="1"/>
        <v>#N/A</v>
      </c>
      <c r="I20" s="247">
        <v>8.0000000000000002E-3</v>
      </c>
      <c r="J20" s="247">
        <v>12.5</v>
      </c>
      <c r="K20" s="247">
        <v>4</v>
      </c>
      <c r="L20" s="247">
        <v>1.9</v>
      </c>
      <c r="M20" s="247">
        <v>4.5999999999999996</v>
      </c>
      <c r="N20" s="250">
        <v>4413.5290000000005</v>
      </c>
      <c r="O20" s="250">
        <v>5082.2969999999996</v>
      </c>
      <c r="P20" s="249">
        <v>2.88057470563805</v>
      </c>
      <c r="Q20" s="249">
        <v>6.8410109008006996</v>
      </c>
      <c r="R20" s="249">
        <v>17.771062566939101</v>
      </c>
      <c r="S20" s="249">
        <v>30.240834488682399</v>
      </c>
      <c r="T20" s="249">
        <v>6.85399370888919</v>
      </c>
      <c r="U20" s="249">
        <v>10.9300516661384</v>
      </c>
      <c r="V20" s="249">
        <v>82.228937433060906</v>
      </c>
      <c r="W20" s="249">
        <v>12.4697719217433</v>
      </c>
      <c r="X20" s="249">
        <v>51.453474079359196</v>
      </c>
      <c r="Y20" s="249">
        <v>66.960860572118094</v>
      </c>
      <c r="Z20" s="249">
        <v>72.634121130732296</v>
      </c>
      <c r="AA20" s="249">
        <v>38.983702157615802</v>
      </c>
      <c r="AB20" s="249">
        <v>60.164349208989002</v>
      </c>
      <c r="AC20" s="249">
        <v>63.550256495425799</v>
      </c>
      <c r="AD20" s="249">
        <v>30.775463353701799</v>
      </c>
      <c r="AE20" s="249">
        <v>9.5948163023285904</v>
      </c>
      <c r="AF20" s="249">
        <v>2.3532863191584399</v>
      </c>
      <c r="AG20" s="249">
        <v>5.5958949270379099</v>
      </c>
      <c r="AH20" s="249">
        <v>14.5894267887138</v>
      </c>
      <c r="AI20" s="249">
        <v>24.824759355858198</v>
      </c>
      <c r="AJ20" s="249">
        <v>5.6364474567306901</v>
      </c>
      <c r="AK20" s="249">
        <v>8.9935318616759297</v>
      </c>
      <c r="AL20" s="249">
        <v>85.410573211286106</v>
      </c>
      <c r="AM20" s="249">
        <v>10.235332567144299</v>
      </c>
      <c r="AN20" s="249">
        <v>44.821524598031203</v>
      </c>
      <c r="AO20" s="249">
        <v>60.745702189383998</v>
      </c>
      <c r="AP20" s="249">
        <v>67.6207037880706</v>
      </c>
      <c r="AQ20" s="249">
        <v>34.586192030886799</v>
      </c>
      <c r="AR20" s="249">
        <v>57.385371220926302</v>
      </c>
      <c r="AS20" s="249">
        <v>40.589048613255002</v>
      </c>
      <c r="AT20" s="249">
        <v>17.789869423215499</v>
      </c>
    </row>
    <row r="21" spans="1:46" x14ac:dyDescent="0.4">
      <c r="A21" s="239" t="s">
        <v>244</v>
      </c>
      <c r="B21" s="240">
        <v>56</v>
      </c>
      <c r="C21" s="241" t="s">
        <v>245</v>
      </c>
      <c r="D21" s="241" t="s">
        <v>196</v>
      </c>
      <c r="E21" s="241" t="s">
        <v>197</v>
      </c>
      <c r="F21" s="239">
        <v>1.2617355060728741</v>
      </c>
      <c r="G21" s="255" t="e">
        <f t="shared" si="0"/>
        <v>#N/A</v>
      </c>
      <c r="H21" s="255" t="e">
        <f t="shared" si="1"/>
        <v>#N/A</v>
      </c>
      <c r="I21" s="239">
        <v>0.66400000000000003</v>
      </c>
      <c r="J21" s="239">
        <v>11.2</v>
      </c>
      <c r="K21" s="239">
        <v>7</v>
      </c>
      <c r="L21" s="239">
        <v>2.2000000000000002</v>
      </c>
      <c r="M21" s="239">
        <v>4.0999999999999996</v>
      </c>
      <c r="N21" s="255">
        <v>5559.1009999999997</v>
      </c>
      <c r="O21" s="255">
        <v>5740.0910000000003</v>
      </c>
      <c r="P21" s="241">
        <v>2.3508837130320202</v>
      </c>
      <c r="Q21" s="241">
        <v>6.0120512291465804</v>
      </c>
      <c r="R21" s="241">
        <v>17.620834735688401</v>
      </c>
      <c r="S21" s="241">
        <v>29.640134259118501</v>
      </c>
      <c r="T21" s="241">
        <v>7.1409387956793697</v>
      </c>
      <c r="U21" s="241">
        <v>11.608783506541799</v>
      </c>
      <c r="V21" s="241">
        <v>82.379165264311595</v>
      </c>
      <c r="W21" s="241">
        <v>12.019299523430099</v>
      </c>
      <c r="X21" s="241">
        <v>46.1536496638575</v>
      </c>
      <c r="Y21" s="241">
        <v>60.408850279928402</v>
      </c>
      <c r="Z21" s="241">
        <v>66.305091416759694</v>
      </c>
      <c r="AA21" s="241">
        <v>34.134350140427401</v>
      </c>
      <c r="AB21" s="241">
        <v>54.285791893329502</v>
      </c>
      <c r="AC21" s="241">
        <v>59.670511472988203</v>
      </c>
      <c r="AD21" s="241">
        <v>36.225515600454102</v>
      </c>
      <c r="AE21" s="241">
        <v>16.074073847552</v>
      </c>
      <c r="AF21" s="241">
        <v>2.1684325213659501</v>
      </c>
      <c r="AG21" s="241">
        <v>5.5527865324783203</v>
      </c>
      <c r="AH21" s="241">
        <v>16.2893759001382</v>
      </c>
      <c r="AI21" s="241">
        <v>27.499424660689201</v>
      </c>
      <c r="AJ21" s="241">
        <v>6.6044945977337299</v>
      </c>
      <c r="AK21" s="241">
        <v>10.736589367659899</v>
      </c>
      <c r="AL21" s="241">
        <v>83.710624099861803</v>
      </c>
      <c r="AM21" s="241">
        <v>11.210048760551</v>
      </c>
      <c r="AN21" s="241">
        <v>43.718766827912702</v>
      </c>
      <c r="AO21" s="241">
        <v>57.5086004734071</v>
      </c>
      <c r="AP21" s="241">
        <v>63.402879849814198</v>
      </c>
      <c r="AQ21" s="241">
        <v>32.508718067361698</v>
      </c>
      <c r="AR21" s="241">
        <v>52.192831089263201</v>
      </c>
      <c r="AS21" s="241">
        <v>39.9918572719492</v>
      </c>
      <c r="AT21" s="241">
        <v>20.307744250047602</v>
      </c>
    </row>
    <row r="22" spans="1:46" x14ac:dyDescent="0.4">
      <c r="A22" s="256" t="s">
        <v>246</v>
      </c>
      <c r="B22" s="257">
        <v>84</v>
      </c>
      <c r="C22" s="258" t="s">
        <v>247</v>
      </c>
      <c r="D22" s="258" t="s">
        <v>248</v>
      </c>
      <c r="E22" s="258" t="s">
        <v>249</v>
      </c>
      <c r="F22" s="256">
        <v>1</v>
      </c>
      <c r="G22" s="259" t="e">
        <f t="shared" si="0"/>
        <v>#N/A</v>
      </c>
      <c r="H22" s="259" t="e">
        <f t="shared" si="1"/>
        <v>#N/A</v>
      </c>
      <c r="I22" s="256">
        <v>2.2160000000000002</v>
      </c>
      <c r="J22" s="256">
        <v>23.091999999999999</v>
      </c>
      <c r="K22" s="256">
        <v>28</v>
      </c>
      <c r="L22" s="256">
        <v>8.3000000000000007</v>
      </c>
      <c r="M22" s="256">
        <v>16.5</v>
      </c>
      <c r="N22" s="259">
        <v>179.10400000000001</v>
      </c>
      <c r="O22" s="259">
        <v>180.18299999999999</v>
      </c>
      <c r="P22" s="249">
        <v>4.6029122744327298</v>
      </c>
      <c r="Q22" s="249">
        <v>11.157204752546001</v>
      </c>
      <c r="R22" s="249">
        <v>32.955154547078799</v>
      </c>
      <c r="S22" s="249">
        <v>53.597909594425602</v>
      </c>
      <c r="T22" s="249">
        <v>12.9561595497588</v>
      </c>
      <c r="U22" s="249">
        <v>21.797949794532801</v>
      </c>
      <c r="V22" s="249">
        <v>67.044845452921194</v>
      </c>
      <c r="W22" s="249">
        <v>20.6427550473468</v>
      </c>
      <c r="X22" s="249">
        <v>53.789418438449196</v>
      </c>
      <c r="Y22" s="249">
        <v>61.045537788100802</v>
      </c>
      <c r="Z22" s="249">
        <v>63.267152045738797</v>
      </c>
      <c r="AA22" s="249">
        <v>33.1466633911024</v>
      </c>
      <c r="AB22" s="249">
        <v>42.624396998392001</v>
      </c>
      <c r="AC22" s="249">
        <v>44.149209397891703</v>
      </c>
      <c r="AD22" s="249">
        <v>13.255427014472</v>
      </c>
      <c r="AE22" s="249">
        <v>3.77769340718242</v>
      </c>
      <c r="AF22" s="249">
        <v>4.5142993512151603</v>
      </c>
      <c r="AG22" s="249">
        <v>10.8056808910941</v>
      </c>
      <c r="AH22" s="249">
        <v>31.956399882341799</v>
      </c>
      <c r="AI22" s="249">
        <v>52.5543475244612</v>
      </c>
      <c r="AJ22" s="249">
        <v>12.4456802251045</v>
      </c>
      <c r="AK22" s="249">
        <v>21.1507189912478</v>
      </c>
      <c r="AL22" s="249">
        <v>68.043600117658201</v>
      </c>
      <c r="AM22" s="249">
        <v>20.597947642119401</v>
      </c>
      <c r="AN22" s="249">
        <v>55.043483569482099</v>
      </c>
      <c r="AO22" s="249">
        <v>62.165132115682397</v>
      </c>
      <c r="AP22" s="249">
        <v>64.296298762924394</v>
      </c>
      <c r="AQ22" s="249">
        <v>34.445535927362698</v>
      </c>
      <c r="AR22" s="249">
        <v>43.698351120805</v>
      </c>
      <c r="AS22" s="249">
        <v>13.000116548176001</v>
      </c>
      <c r="AT22" s="249">
        <v>3.7473013547337999</v>
      </c>
    </row>
    <row r="23" spans="1:46" x14ac:dyDescent="0.4">
      <c r="A23" s="245" t="s">
        <v>250</v>
      </c>
      <c r="B23" s="260">
        <v>204</v>
      </c>
      <c r="C23" s="242" t="s">
        <v>251</v>
      </c>
      <c r="D23" s="242" t="s">
        <v>252</v>
      </c>
      <c r="E23" s="242" t="s">
        <v>253</v>
      </c>
      <c r="F23" s="245">
        <v>1</v>
      </c>
      <c r="G23" s="246" t="e">
        <f t="shared" si="0"/>
        <v>#N/A</v>
      </c>
      <c r="H23" s="246" t="e">
        <f t="shared" si="1"/>
        <v>#N/A</v>
      </c>
      <c r="I23" s="245">
        <v>2.6920000000000002</v>
      </c>
      <c r="J23" s="245">
        <v>36.44</v>
      </c>
      <c r="K23" s="245">
        <v>405</v>
      </c>
      <c r="L23" s="245">
        <v>31.8</v>
      </c>
      <c r="M23" s="245">
        <v>99.5</v>
      </c>
      <c r="N23" s="246">
        <v>5425.9489999999996</v>
      </c>
      <c r="O23" s="246">
        <v>5453.88</v>
      </c>
      <c r="P23" s="241">
        <v>6.5986060687264096</v>
      </c>
      <c r="Q23" s="241">
        <v>15.924476990108101</v>
      </c>
      <c r="R23" s="241">
        <v>42.694632772995099</v>
      </c>
      <c r="S23" s="241">
        <v>62.740545478772503</v>
      </c>
      <c r="T23" s="241">
        <v>16.833350258176001</v>
      </c>
      <c r="U23" s="241">
        <v>26.770155782886999</v>
      </c>
      <c r="V23" s="241">
        <v>57.305367227004901</v>
      </c>
      <c r="W23" s="241">
        <v>20.0459127057774</v>
      </c>
      <c r="X23" s="241">
        <v>48.050930814130403</v>
      </c>
      <c r="Y23" s="241">
        <v>53.2486022260806</v>
      </c>
      <c r="Z23" s="241">
        <v>54.885182297142897</v>
      </c>
      <c r="AA23" s="241">
        <v>28.005018108352999</v>
      </c>
      <c r="AB23" s="241">
        <v>34.8392695913655</v>
      </c>
      <c r="AC23" s="241">
        <v>35.912796084150401</v>
      </c>
      <c r="AD23" s="241">
        <v>9.2544364128744991</v>
      </c>
      <c r="AE23" s="241">
        <v>2.4201849298620401</v>
      </c>
      <c r="AF23" s="241">
        <v>6.4069616493212198</v>
      </c>
      <c r="AG23" s="241">
        <v>15.4693355922756</v>
      </c>
      <c r="AH23" s="241">
        <v>41.624916573155303</v>
      </c>
      <c r="AI23" s="241">
        <v>61.5441300505328</v>
      </c>
      <c r="AJ23" s="241">
        <v>16.409216924464801</v>
      </c>
      <c r="AK23" s="241">
        <v>26.155580980879702</v>
      </c>
      <c r="AL23" s="241">
        <v>58.375083426844697</v>
      </c>
      <c r="AM23" s="241">
        <v>19.9192134773776</v>
      </c>
      <c r="AN23" s="241">
        <v>47.888109015966599</v>
      </c>
      <c r="AO23" s="241">
        <v>53.225410166707</v>
      </c>
      <c r="AP23" s="241">
        <v>55.015346872318403</v>
      </c>
      <c r="AQ23" s="241">
        <v>27.968895538588999</v>
      </c>
      <c r="AR23" s="241">
        <v>35.0961333949409</v>
      </c>
      <c r="AS23" s="241">
        <v>10.4869744108781</v>
      </c>
      <c r="AT23" s="241">
        <v>3.3597365545263198</v>
      </c>
    </row>
    <row r="24" spans="1:46" x14ac:dyDescent="0.4">
      <c r="A24" s="247" t="s">
        <v>254</v>
      </c>
      <c r="B24" s="248">
        <v>64</v>
      </c>
      <c r="C24" s="249" t="s">
        <v>255</v>
      </c>
      <c r="D24" s="249" t="s">
        <v>256</v>
      </c>
      <c r="E24" s="249" t="s">
        <v>254</v>
      </c>
      <c r="F24" s="247">
        <v>1</v>
      </c>
      <c r="G24" s="250" t="e">
        <f t="shared" si="0"/>
        <v>#N/A</v>
      </c>
      <c r="H24" s="250" t="e">
        <f t="shared" si="1"/>
        <v>#N/A</v>
      </c>
      <c r="I24" s="247">
        <v>1.4610000000000001</v>
      </c>
      <c r="J24" s="247">
        <v>18.134</v>
      </c>
      <c r="K24" s="247">
        <v>148</v>
      </c>
      <c r="L24" s="247">
        <v>18.3</v>
      </c>
      <c r="M24" s="247">
        <v>32.9</v>
      </c>
      <c r="N24" s="250">
        <v>416.28399999999999</v>
      </c>
      <c r="O24" s="250">
        <v>358.54599999999999</v>
      </c>
      <c r="P24" s="249">
        <v>3.0373495017824399</v>
      </c>
      <c r="Q24" s="249">
        <v>8.04859182673367</v>
      </c>
      <c r="R24" s="249">
        <v>25.3627331341104</v>
      </c>
      <c r="S24" s="249">
        <v>43.8986365077687</v>
      </c>
      <c r="T24" s="249">
        <v>10.442870732480699</v>
      </c>
      <c r="U24" s="249">
        <v>17.314141307376701</v>
      </c>
      <c r="V24" s="249">
        <v>74.6372668658896</v>
      </c>
      <c r="W24" s="249">
        <v>18.5359033736584</v>
      </c>
      <c r="X24" s="249">
        <v>59.648941587954397</v>
      </c>
      <c r="Y24" s="249">
        <v>66.937955818623806</v>
      </c>
      <c r="Z24" s="249">
        <v>69.291637439824697</v>
      </c>
      <c r="AA24" s="249">
        <v>41.113038214295997</v>
      </c>
      <c r="AB24" s="249">
        <v>50.755734066166397</v>
      </c>
      <c r="AC24" s="249">
        <v>52.756051157382899</v>
      </c>
      <c r="AD24" s="249">
        <v>14.988325277935299</v>
      </c>
      <c r="AE24" s="249">
        <v>5.3456294260649004</v>
      </c>
      <c r="AF24" s="249">
        <v>3.4098832506847101</v>
      </c>
      <c r="AG24" s="249">
        <v>9.0445856319691202</v>
      </c>
      <c r="AH24" s="249">
        <v>28.609718139373999</v>
      </c>
      <c r="AI24" s="249">
        <v>49.2625771867487</v>
      </c>
      <c r="AJ24" s="249">
        <v>11.785656512692899</v>
      </c>
      <c r="AK24" s="249">
        <v>19.565132507404901</v>
      </c>
      <c r="AL24" s="249">
        <v>71.390281860626004</v>
      </c>
      <c r="AM24" s="249">
        <v>20.652859047374701</v>
      </c>
      <c r="AN24" s="249">
        <v>57.764415165697002</v>
      </c>
      <c r="AO24" s="249">
        <v>64.440267078701197</v>
      </c>
      <c r="AP24" s="249">
        <v>66.655882369347296</v>
      </c>
      <c r="AQ24" s="249">
        <v>37.111556118322298</v>
      </c>
      <c r="AR24" s="249">
        <v>46.003023321972599</v>
      </c>
      <c r="AS24" s="249">
        <v>13.625866694929</v>
      </c>
      <c r="AT24" s="249">
        <v>4.7343994912786602</v>
      </c>
    </row>
    <row r="25" spans="1:46" x14ac:dyDescent="0.4">
      <c r="A25" s="251" t="s">
        <v>257</v>
      </c>
      <c r="B25" s="252">
        <v>68</v>
      </c>
      <c r="C25" s="253" t="s">
        <v>258</v>
      </c>
      <c r="D25" s="253" t="s">
        <v>259</v>
      </c>
      <c r="E25" s="253" t="s">
        <v>260</v>
      </c>
      <c r="F25" s="251">
        <v>1</v>
      </c>
      <c r="G25" s="254" t="e">
        <f t="shared" si="0"/>
        <v>#N/A</v>
      </c>
      <c r="H25" s="254" t="e">
        <f t="shared" si="1"/>
        <v>#N/A</v>
      </c>
      <c r="I25" s="251">
        <v>1.5629999999999999</v>
      </c>
      <c r="J25" s="251">
        <v>24.236000000000001</v>
      </c>
      <c r="K25" s="251">
        <v>206</v>
      </c>
      <c r="L25" s="251">
        <v>19.600000000000001</v>
      </c>
      <c r="M25" s="251">
        <v>38.4</v>
      </c>
      <c r="N25" s="254">
        <v>5370.7150000000001</v>
      </c>
      <c r="O25" s="254">
        <v>5353.99</v>
      </c>
      <c r="P25" s="241">
        <v>4.5467316735295</v>
      </c>
      <c r="Q25" s="241">
        <v>11.2597857082344</v>
      </c>
      <c r="R25" s="241">
        <v>32.984397794334598</v>
      </c>
      <c r="S25" s="241">
        <v>52.483309950351099</v>
      </c>
      <c r="T25" s="241">
        <v>13.165137230331499</v>
      </c>
      <c r="U25" s="241">
        <v>21.724612086100301</v>
      </c>
      <c r="V25" s="241">
        <v>67.015602205665303</v>
      </c>
      <c r="W25" s="241">
        <v>19.498912156016502</v>
      </c>
      <c r="X25" s="241">
        <v>51.507424989037801</v>
      </c>
      <c r="Y25" s="241">
        <v>58.302758571251701</v>
      </c>
      <c r="Z25" s="241">
        <v>60.971751433468299</v>
      </c>
      <c r="AA25" s="241">
        <v>32.0085128330213</v>
      </c>
      <c r="AB25" s="241">
        <v>41.472839277451897</v>
      </c>
      <c r="AC25" s="241">
        <v>43.494935031927803</v>
      </c>
      <c r="AD25" s="241">
        <v>15.508177216627599</v>
      </c>
      <c r="AE25" s="241">
        <v>6.0438507721969996</v>
      </c>
      <c r="AF25" s="241">
        <v>4.37240263803257</v>
      </c>
      <c r="AG25" s="241">
        <v>10.848582085510101</v>
      </c>
      <c r="AH25" s="241">
        <v>31.904392798641801</v>
      </c>
      <c r="AI25" s="241">
        <v>50.969613316423803</v>
      </c>
      <c r="AJ25" s="241">
        <v>12.7461015056061</v>
      </c>
      <c r="AK25" s="241">
        <v>21.055810713131699</v>
      </c>
      <c r="AL25" s="241">
        <v>68.095607201358305</v>
      </c>
      <c r="AM25" s="241">
        <v>19.065220517782102</v>
      </c>
      <c r="AN25" s="241">
        <v>51.317428684028201</v>
      </c>
      <c r="AO25" s="241">
        <v>58.376463161119098</v>
      </c>
      <c r="AP25" s="241">
        <v>61.207267850705797</v>
      </c>
      <c r="AQ25" s="241">
        <v>32.252208166246099</v>
      </c>
      <c r="AR25" s="241">
        <v>42.142047332923703</v>
      </c>
      <c r="AS25" s="241">
        <v>16.778178517330101</v>
      </c>
      <c r="AT25" s="241">
        <v>6.8883393506525099</v>
      </c>
    </row>
    <row r="26" spans="1:46" x14ac:dyDescent="0.4">
      <c r="A26" s="247" t="s">
        <v>261</v>
      </c>
      <c r="B26" s="248">
        <v>70</v>
      </c>
      <c r="C26" s="249" t="s">
        <v>262</v>
      </c>
      <c r="D26" s="249" t="s">
        <v>263</v>
      </c>
      <c r="E26" s="249" t="s">
        <v>264</v>
      </c>
      <c r="F26" s="247">
        <v>1</v>
      </c>
      <c r="G26" s="250" t="e">
        <f t="shared" si="0"/>
        <v>#N/A</v>
      </c>
      <c r="H26" s="250" t="e">
        <f t="shared" si="1"/>
        <v>#N/A</v>
      </c>
      <c r="I26" s="247">
        <v>-0.13</v>
      </c>
      <c r="J26" s="247">
        <v>9.0619999999999994</v>
      </c>
      <c r="K26" s="247">
        <v>11</v>
      </c>
      <c r="L26" s="247">
        <v>4</v>
      </c>
      <c r="M26" s="247">
        <v>5.4</v>
      </c>
      <c r="N26" s="250">
        <v>1896.451</v>
      </c>
      <c r="O26" s="250">
        <v>1913.9649999999999</v>
      </c>
      <c r="P26" s="249">
        <v>1.7524839819220199</v>
      </c>
      <c r="Q26" s="249">
        <v>4.6875980449798096</v>
      </c>
      <c r="R26" s="249">
        <v>13.973363930837101</v>
      </c>
      <c r="S26" s="249">
        <v>26.1185762247482</v>
      </c>
      <c r="T26" s="249">
        <v>5.6696429277634897</v>
      </c>
      <c r="U26" s="249">
        <v>9.2857658858573195</v>
      </c>
      <c r="V26" s="249">
        <v>86.026636069162905</v>
      </c>
      <c r="W26" s="249">
        <v>12.145212293911101</v>
      </c>
      <c r="X26" s="249">
        <v>50.091196661553603</v>
      </c>
      <c r="Y26" s="249">
        <v>66.002338051444497</v>
      </c>
      <c r="Z26" s="249">
        <v>72.813956173926996</v>
      </c>
      <c r="AA26" s="249">
        <v>37.945984367642502</v>
      </c>
      <c r="AB26" s="249">
        <v>60.668743880015903</v>
      </c>
      <c r="AC26" s="249">
        <v>65.823213992874102</v>
      </c>
      <c r="AD26" s="249">
        <v>35.935439407609302</v>
      </c>
      <c r="AE26" s="249">
        <v>13.212679895235899</v>
      </c>
      <c r="AF26" s="249">
        <v>1.6325794881306599</v>
      </c>
      <c r="AG26" s="249">
        <v>4.36747798418466</v>
      </c>
      <c r="AH26" s="249">
        <v>13.0271452194789</v>
      </c>
      <c r="AI26" s="249">
        <v>24.357237462545001</v>
      </c>
      <c r="AJ26" s="249">
        <v>5.2861990684260096</v>
      </c>
      <c r="AK26" s="249">
        <v>8.6596672352942701</v>
      </c>
      <c r="AL26" s="249">
        <v>86.972854780521104</v>
      </c>
      <c r="AM26" s="249">
        <v>11.330092243066099</v>
      </c>
      <c r="AN26" s="249">
        <v>46.961255822337399</v>
      </c>
      <c r="AO26" s="249">
        <v>62.270156455316602</v>
      </c>
      <c r="AP26" s="249">
        <v>69.318038731115806</v>
      </c>
      <c r="AQ26" s="249">
        <v>35.631163579271302</v>
      </c>
      <c r="AR26" s="249">
        <v>57.987946488049701</v>
      </c>
      <c r="AS26" s="249">
        <v>40.011598958183697</v>
      </c>
      <c r="AT26" s="249">
        <v>17.654816049405301</v>
      </c>
    </row>
    <row r="27" spans="1:46" x14ac:dyDescent="0.4">
      <c r="A27" s="239" t="s">
        <v>265</v>
      </c>
      <c r="B27" s="240">
        <v>72</v>
      </c>
      <c r="C27" s="241" t="s">
        <v>266</v>
      </c>
      <c r="D27" s="241" t="s">
        <v>267</v>
      </c>
      <c r="E27" s="241" t="s">
        <v>268</v>
      </c>
      <c r="F27" s="239">
        <v>14.185119999999992</v>
      </c>
      <c r="G27" s="255" t="e">
        <f t="shared" si="0"/>
        <v>#N/A</v>
      </c>
      <c r="H27" s="255" t="e">
        <f t="shared" si="1"/>
        <v>#N/A</v>
      </c>
      <c r="I27" s="239">
        <v>1.994</v>
      </c>
      <c r="J27" s="239">
        <v>25.266999999999999</v>
      </c>
      <c r="K27" s="239">
        <v>129</v>
      </c>
      <c r="L27" s="239">
        <v>21.9</v>
      </c>
      <c r="M27" s="239">
        <v>43.6</v>
      </c>
      <c r="N27" s="255">
        <v>1130.4090000000001</v>
      </c>
      <c r="O27" s="255">
        <v>1132.076</v>
      </c>
      <c r="P27" s="241">
        <v>4.96024005470586</v>
      </c>
      <c r="Q27" s="241">
        <v>11.8966674893777</v>
      </c>
      <c r="R27" s="241">
        <v>32.315206266050602</v>
      </c>
      <c r="S27" s="241">
        <v>51.928018973663498</v>
      </c>
      <c r="T27" s="241">
        <v>12.5656289006899</v>
      </c>
      <c r="U27" s="241">
        <v>20.4185387766729</v>
      </c>
      <c r="V27" s="241">
        <v>67.684793733949405</v>
      </c>
      <c r="W27" s="241">
        <v>19.6128127076129</v>
      </c>
      <c r="X27" s="241">
        <v>56.449214399390002</v>
      </c>
      <c r="Y27" s="241">
        <v>62.450139728186898</v>
      </c>
      <c r="Z27" s="241">
        <v>64.584676873591803</v>
      </c>
      <c r="AA27" s="241">
        <v>36.836401691777098</v>
      </c>
      <c r="AB27" s="241">
        <v>44.9718641659789</v>
      </c>
      <c r="AC27" s="241">
        <v>46.302886831226601</v>
      </c>
      <c r="AD27" s="241">
        <v>11.2355793345594</v>
      </c>
      <c r="AE27" s="241">
        <v>3.1001168603576201</v>
      </c>
      <c r="AF27" s="241">
        <v>4.8458760719244998</v>
      </c>
      <c r="AG27" s="241">
        <v>11.640649567696901</v>
      </c>
      <c r="AH27" s="241">
        <v>31.681441881993798</v>
      </c>
      <c r="AI27" s="241">
        <v>51.010974528211896</v>
      </c>
      <c r="AJ27" s="241">
        <v>12.3310625788375</v>
      </c>
      <c r="AK27" s="241">
        <v>20.040792314296901</v>
      </c>
      <c r="AL27" s="241">
        <v>68.318558118006194</v>
      </c>
      <c r="AM27" s="241">
        <v>19.329532646218102</v>
      </c>
      <c r="AN27" s="241">
        <v>55.473042445913499</v>
      </c>
      <c r="AO27" s="241">
        <v>61.840901140912798</v>
      </c>
      <c r="AP27" s="241">
        <v>64.223250029149995</v>
      </c>
      <c r="AQ27" s="241">
        <v>36.143509799695401</v>
      </c>
      <c r="AR27" s="241">
        <v>44.893717382931897</v>
      </c>
      <c r="AS27" s="241">
        <v>12.8455156720927</v>
      </c>
      <c r="AT27" s="241">
        <v>4.0953080888562301</v>
      </c>
    </row>
    <row r="28" spans="1:46" x14ac:dyDescent="0.4">
      <c r="A28" s="256" t="s">
        <v>269</v>
      </c>
      <c r="B28" s="257">
        <v>76</v>
      </c>
      <c r="C28" s="258" t="s">
        <v>270</v>
      </c>
      <c r="D28" s="258" t="s">
        <v>271</v>
      </c>
      <c r="E28" s="258" t="s">
        <v>272</v>
      </c>
      <c r="F28" s="256">
        <v>4.6649083739837387</v>
      </c>
      <c r="G28" s="259" t="e">
        <f t="shared" si="0"/>
        <v>#N/A</v>
      </c>
      <c r="H28" s="259" t="e">
        <f t="shared" si="1"/>
        <v>#N/A</v>
      </c>
      <c r="I28" s="256">
        <v>0.90900000000000003</v>
      </c>
      <c r="J28" s="256">
        <v>14.930999999999999</v>
      </c>
      <c r="K28" s="256">
        <v>44</v>
      </c>
      <c r="L28" s="256">
        <v>8.9</v>
      </c>
      <c r="M28" s="256">
        <v>16.399999999999999</v>
      </c>
      <c r="N28" s="259">
        <v>102200.738</v>
      </c>
      <c r="O28" s="259">
        <v>105646.79</v>
      </c>
      <c r="P28" s="249">
        <v>3.1086673757678698</v>
      </c>
      <c r="Q28" s="249">
        <v>7.5059330784871596</v>
      </c>
      <c r="R28" s="249">
        <v>23.878503695345099</v>
      </c>
      <c r="S28" s="249">
        <v>40.833990846524003</v>
      </c>
      <c r="T28" s="249">
        <v>9.3530087815999892</v>
      </c>
      <c r="U28" s="249">
        <v>16.372570616857999</v>
      </c>
      <c r="V28" s="249">
        <v>76.121496304654798</v>
      </c>
      <c r="W28" s="249">
        <v>16.9554871511789</v>
      </c>
      <c r="X28" s="249">
        <v>55.186422430726502</v>
      </c>
      <c r="Y28" s="249">
        <v>65.626277571498505</v>
      </c>
      <c r="Z28" s="249">
        <v>69.307781319543906</v>
      </c>
      <c r="AA28" s="249">
        <v>38.230935279547602</v>
      </c>
      <c r="AB28" s="249">
        <v>52.352294168364999</v>
      </c>
      <c r="AC28" s="249">
        <v>55.008215302711399</v>
      </c>
      <c r="AD28" s="249">
        <v>20.935073873928399</v>
      </c>
      <c r="AE28" s="249">
        <v>6.8137149851109697</v>
      </c>
      <c r="AF28" s="249">
        <v>2.8832149088486299</v>
      </c>
      <c r="AG28" s="249">
        <v>6.9676362149763396</v>
      </c>
      <c r="AH28" s="249">
        <v>22.204542135165699</v>
      </c>
      <c r="AI28" s="249">
        <v>38.111336842321499</v>
      </c>
      <c r="AJ28" s="249">
        <v>8.6994749201561206</v>
      </c>
      <c r="AK28" s="249">
        <v>15.236905920189299</v>
      </c>
      <c r="AL28" s="249">
        <v>77.795457864834304</v>
      </c>
      <c r="AM28" s="249">
        <v>15.9067947071558</v>
      </c>
      <c r="AN28" s="249">
        <v>53.715436124467203</v>
      </c>
      <c r="AO28" s="249">
        <v>64.860446777417494</v>
      </c>
      <c r="AP28" s="249">
        <v>68.953451401599594</v>
      </c>
      <c r="AQ28" s="249">
        <v>37.808641417311399</v>
      </c>
      <c r="AR28" s="249">
        <v>53.046656694443797</v>
      </c>
      <c r="AS28" s="249">
        <v>24.080021740367101</v>
      </c>
      <c r="AT28" s="249">
        <v>8.8420064632347106</v>
      </c>
    </row>
    <row r="29" spans="1:46" x14ac:dyDescent="0.4">
      <c r="A29" s="245" t="s">
        <v>273</v>
      </c>
      <c r="B29" s="260">
        <v>96</v>
      </c>
      <c r="C29" s="242" t="s">
        <v>274</v>
      </c>
      <c r="D29" s="242" t="s">
        <v>275</v>
      </c>
      <c r="E29" s="242" t="s">
        <v>276</v>
      </c>
      <c r="F29" s="245">
        <v>1.9239059307359307</v>
      </c>
      <c r="G29" s="246" t="e">
        <f t="shared" si="0"/>
        <v>#N/A</v>
      </c>
      <c r="H29" s="246" t="e">
        <f t="shared" si="1"/>
        <v>#N/A</v>
      </c>
      <c r="I29" s="245">
        <v>1.4650000000000001</v>
      </c>
      <c r="J29" s="245">
        <v>16.405000000000001</v>
      </c>
      <c r="K29" s="245">
        <v>23</v>
      </c>
      <c r="L29" s="245">
        <v>4.3</v>
      </c>
      <c r="M29" s="245">
        <v>10.199999999999999</v>
      </c>
      <c r="N29" s="246">
        <v>218.02699999999999</v>
      </c>
      <c r="O29" s="246">
        <v>205.161</v>
      </c>
      <c r="P29" s="241">
        <v>3.4326023841083901</v>
      </c>
      <c r="Q29" s="241">
        <v>7.9494741476973001</v>
      </c>
      <c r="R29" s="241">
        <v>23.065950547409301</v>
      </c>
      <c r="S29" s="241">
        <v>39.869832635407498</v>
      </c>
      <c r="T29" s="241">
        <v>8.7044265159819698</v>
      </c>
      <c r="U29" s="241">
        <v>15.116476399712001</v>
      </c>
      <c r="V29" s="241">
        <v>76.934049452590699</v>
      </c>
      <c r="W29" s="241">
        <v>16.8038820879983</v>
      </c>
      <c r="X29" s="241">
        <v>59.290821778953998</v>
      </c>
      <c r="Y29" s="241">
        <v>69.708797534250394</v>
      </c>
      <c r="Z29" s="241">
        <v>72.867580620748797</v>
      </c>
      <c r="AA29" s="241">
        <v>42.486939690955701</v>
      </c>
      <c r="AB29" s="241">
        <v>56.0636985327505</v>
      </c>
      <c r="AC29" s="241">
        <v>57.841918661450201</v>
      </c>
      <c r="AD29" s="241">
        <v>17.643227673636702</v>
      </c>
      <c r="AE29" s="241">
        <v>4.06646883184193</v>
      </c>
      <c r="AF29" s="241">
        <v>3.5104137725981102</v>
      </c>
      <c r="AG29" s="241">
        <v>8.0185805294378607</v>
      </c>
      <c r="AH29" s="241">
        <v>23.153035908384201</v>
      </c>
      <c r="AI29" s="241">
        <v>39.872100447940902</v>
      </c>
      <c r="AJ29" s="241">
        <v>8.6688015753481409</v>
      </c>
      <c r="AK29" s="241">
        <v>15.134455378946299</v>
      </c>
      <c r="AL29" s="241">
        <v>76.846964091615902</v>
      </c>
      <c r="AM29" s="241">
        <v>16.719064539556701</v>
      </c>
      <c r="AN29" s="241">
        <v>58.559375319870703</v>
      </c>
      <c r="AO29" s="241">
        <v>68.785977841792501</v>
      </c>
      <c r="AP29" s="241">
        <v>72.052193155619193</v>
      </c>
      <c r="AQ29" s="241">
        <v>41.840310780313999</v>
      </c>
      <c r="AR29" s="241">
        <v>55.333128616062503</v>
      </c>
      <c r="AS29" s="241">
        <v>18.287588771745099</v>
      </c>
      <c r="AT29" s="241">
        <v>4.7947709359966098</v>
      </c>
    </row>
    <row r="30" spans="1:46" x14ac:dyDescent="0.4">
      <c r="A30" s="247" t="s">
        <v>277</v>
      </c>
      <c r="B30" s="248">
        <v>100</v>
      </c>
      <c r="C30" s="249" t="s">
        <v>278</v>
      </c>
      <c r="D30" s="249" t="s">
        <v>279</v>
      </c>
      <c r="E30" s="249" t="s">
        <v>280</v>
      </c>
      <c r="F30" s="247">
        <v>1</v>
      </c>
      <c r="G30" s="250" t="e">
        <f t="shared" si="0"/>
        <v>#N/A</v>
      </c>
      <c r="H30" s="250" t="e">
        <f t="shared" si="1"/>
        <v>#N/A</v>
      </c>
      <c r="I30" s="247">
        <v>-0.70799999999999996</v>
      </c>
      <c r="J30" s="247">
        <v>9.1999999999999993</v>
      </c>
      <c r="K30" s="247">
        <v>11</v>
      </c>
      <c r="L30" s="247">
        <v>5.6</v>
      </c>
      <c r="M30" s="247">
        <v>10.4</v>
      </c>
      <c r="N30" s="250">
        <v>3473.4059999999999</v>
      </c>
      <c r="O30" s="250">
        <v>3676.3809999999999</v>
      </c>
      <c r="P30" s="249">
        <v>1.8448750304456201</v>
      </c>
      <c r="Q30" s="249">
        <v>4.9847901454652899</v>
      </c>
      <c r="R30" s="249">
        <v>14.9608194377507</v>
      </c>
      <c r="S30" s="249">
        <v>25.2279174965437</v>
      </c>
      <c r="T30" s="249">
        <v>6.25823759157438</v>
      </c>
      <c r="U30" s="249">
        <v>9.9760292922854408</v>
      </c>
      <c r="V30" s="249">
        <v>85.0391805622493</v>
      </c>
      <c r="W30" s="249">
        <v>10.267098058793</v>
      </c>
      <c r="X30" s="249">
        <v>47.9212910900713</v>
      </c>
      <c r="Y30" s="249">
        <v>61.777632675247297</v>
      </c>
      <c r="Z30" s="249">
        <v>68.378790155829705</v>
      </c>
      <c r="AA30" s="249">
        <v>37.654193031278197</v>
      </c>
      <c r="AB30" s="249">
        <v>58.111692097036702</v>
      </c>
      <c r="AC30" s="249">
        <v>64.150951544391901</v>
      </c>
      <c r="AD30" s="249">
        <v>37.117889472178</v>
      </c>
      <c r="AE30" s="249">
        <v>16.660390406419499</v>
      </c>
      <c r="AF30" s="249">
        <v>1.6362286716202701</v>
      </c>
      <c r="AG30" s="249">
        <v>4.4577534265354997</v>
      </c>
      <c r="AH30" s="249">
        <v>13.372308256407599</v>
      </c>
      <c r="AI30" s="249">
        <v>22.539176434651399</v>
      </c>
      <c r="AJ30" s="249">
        <v>5.6176440907512104</v>
      </c>
      <c r="AK30" s="249">
        <v>8.9145548298721007</v>
      </c>
      <c r="AL30" s="249">
        <v>86.627691743592393</v>
      </c>
      <c r="AM30" s="249">
        <v>9.1668681782437709</v>
      </c>
      <c r="AN30" s="249">
        <v>42.693561956717801</v>
      </c>
      <c r="AO30" s="249">
        <v>56.215800266620903</v>
      </c>
      <c r="AP30" s="249">
        <v>63.419025394810802</v>
      </c>
      <c r="AQ30" s="249">
        <v>33.526693778473998</v>
      </c>
      <c r="AR30" s="249">
        <v>54.252157216567099</v>
      </c>
      <c r="AS30" s="249">
        <v>43.934129786874699</v>
      </c>
      <c r="AT30" s="249">
        <v>23.208666348781598</v>
      </c>
    </row>
    <row r="31" spans="1:46" x14ac:dyDescent="0.4">
      <c r="A31" s="251" t="s">
        <v>281</v>
      </c>
      <c r="B31" s="252">
        <v>854</v>
      </c>
      <c r="C31" s="253" t="s">
        <v>282</v>
      </c>
      <c r="D31" s="253" t="s">
        <v>252</v>
      </c>
      <c r="E31" s="253" t="s">
        <v>253</v>
      </c>
      <c r="F31" s="251">
        <v>1</v>
      </c>
      <c r="G31" s="254" t="e">
        <f t="shared" si="0"/>
        <v>#N/A</v>
      </c>
      <c r="H31" s="254" t="e">
        <f t="shared" si="1"/>
        <v>#N/A</v>
      </c>
      <c r="I31" s="251">
        <v>2.9380000000000002</v>
      </c>
      <c r="J31" s="251">
        <v>40.551000000000002</v>
      </c>
      <c r="K31" s="251">
        <v>371</v>
      </c>
      <c r="L31" s="251">
        <v>26.7</v>
      </c>
      <c r="M31" s="251">
        <v>88.6</v>
      </c>
      <c r="N31" s="254">
        <v>8984.1749999999993</v>
      </c>
      <c r="O31" s="254">
        <v>9121.3950000000004</v>
      </c>
      <c r="P31" s="241">
        <v>7.3489775076732098</v>
      </c>
      <c r="Q31" s="241">
        <v>17.686665720558601</v>
      </c>
      <c r="R31" s="241">
        <v>46.380073852078802</v>
      </c>
      <c r="S31" s="241">
        <v>66.790951868145896</v>
      </c>
      <c r="T31" s="241">
        <v>18.260419014545</v>
      </c>
      <c r="U31" s="241">
        <v>28.693408131520101</v>
      </c>
      <c r="V31" s="241">
        <v>53.619926147921198</v>
      </c>
      <c r="W31" s="241">
        <v>20.410878016067102</v>
      </c>
      <c r="X31" s="241">
        <v>46.526097276600197</v>
      </c>
      <c r="Y31" s="241">
        <v>50.541201612835899</v>
      </c>
      <c r="Z31" s="241">
        <v>51.731327584335801</v>
      </c>
      <c r="AA31" s="241">
        <v>26.115219260533099</v>
      </c>
      <c r="AB31" s="241">
        <v>31.3204495682686</v>
      </c>
      <c r="AC31" s="241">
        <v>32.1739614377503</v>
      </c>
      <c r="AD31" s="241">
        <v>7.0938288713209596</v>
      </c>
      <c r="AE31" s="241">
        <v>1.8885985635854099</v>
      </c>
      <c r="AF31" s="241">
        <v>7.02311433722583</v>
      </c>
      <c r="AG31" s="241">
        <v>17.046855223351301</v>
      </c>
      <c r="AH31" s="241">
        <v>44.776210217844998</v>
      </c>
      <c r="AI31" s="241">
        <v>64.256509009860906</v>
      </c>
      <c r="AJ31" s="241">
        <v>17.747548483537901</v>
      </c>
      <c r="AK31" s="241">
        <v>27.729354994493701</v>
      </c>
      <c r="AL31" s="241">
        <v>55.223789782155002</v>
      </c>
      <c r="AM31" s="241">
        <v>19.480298792015901</v>
      </c>
      <c r="AN31" s="241">
        <v>45.812937604390498</v>
      </c>
      <c r="AO31" s="241">
        <v>50.670670440212298</v>
      </c>
      <c r="AP31" s="241">
        <v>52.333365674877598</v>
      </c>
      <c r="AQ31" s="241">
        <v>26.332638812374601</v>
      </c>
      <c r="AR31" s="241">
        <v>32.853066882861697</v>
      </c>
      <c r="AS31" s="241">
        <v>9.41085217776447</v>
      </c>
      <c r="AT31" s="241">
        <v>2.8904241072774499</v>
      </c>
    </row>
    <row r="32" spans="1:46" x14ac:dyDescent="0.4">
      <c r="A32" s="247" t="s">
        <v>283</v>
      </c>
      <c r="B32" s="248">
        <v>108</v>
      </c>
      <c r="C32" s="249" t="s">
        <v>284</v>
      </c>
      <c r="D32" s="249" t="s">
        <v>285</v>
      </c>
      <c r="E32" s="249" t="s">
        <v>286</v>
      </c>
      <c r="F32" s="247">
        <v>1</v>
      </c>
      <c r="G32" s="250" t="e">
        <f t="shared" si="0"/>
        <v>#N/A</v>
      </c>
      <c r="H32" s="250" t="e">
        <f t="shared" si="1"/>
        <v>#N/A</v>
      </c>
      <c r="I32" s="247">
        <v>3.3370000000000002</v>
      </c>
      <c r="J32" s="247">
        <v>44.151000000000003</v>
      </c>
      <c r="K32" s="247">
        <v>712</v>
      </c>
      <c r="L32" s="247">
        <v>28.6</v>
      </c>
      <c r="M32" s="247">
        <v>81.7</v>
      </c>
      <c r="N32" s="250">
        <v>5524.232</v>
      </c>
      <c r="O32" s="250">
        <v>5654.6890000000003</v>
      </c>
      <c r="P32" s="249">
        <v>7.9614686711202598</v>
      </c>
      <c r="Q32" s="249">
        <v>18.777741412743001</v>
      </c>
      <c r="R32" s="249">
        <v>45.336401512463702</v>
      </c>
      <c r="S32" s="249">
        <v>64.389692540067102</v>
      </c>
      <c r="T32" s="249">
        <v>17.490123514001599</v>
      </c>
      <c r="U32" s="249">
        <v>26.558660099720701</v>
      </c>
      <c r="V32" s="249">
        <v>54.663598487536397</v>
      </c>
      <c r="W32" s="249">
        <v>19.0532910276035</v>
      </c>
      <c r="X32" s="249">
        <v>45.564596128475401</v>
      </c>
      <c r="Y32" s="249">
        <v>50.628123511105301</v>
      </c>
      <c r="Z32" s="249">
        <v>52.348344530063201</v>
      </c>
      <c r="AA32" s="249">
        <v>26.511305100872001</v>
      </c>
      <c r="AB32" s="249">
        <v>33.295053502459702</v>
      </c>
      <c r="AC32" s="249">
        <v>34.280765181476802</v>
      </c>
      <c r="AD32" s="249">
        <v>9.0990023590609592</v>
      </c>
      <c r="AE32" s="249">
        <v>2.3152539574731898</v>
      </c>
      <c r="AF32" s="249">
        <v>7.6523925542147397</v>
      </c>
      <c r="AG32" s="249">
        <v>18.118962864270699</v>
      </c>
      <c r="AH32" s="249">
        <v>44.278580130578398</v>
      </c>
      <c r="AI32" s="249">
        <v>63.695952155812599</v>
      </c>
      <c r="AJ32" s="249">
        <v>17.135407446811001</v>
      </c>
      <c r="AK32" s="249">
        <v>26.159617266307698</v>
      </c>
      <c r="AL32" s="249">
        <v>55.721419869421702</v>
      </c>
      <c r="AM32" s="249">
        <v>19.4173720252343</v>
      </c>
      <c r="AN32" s="249">
        <v>46.397900927884798</v>
      </c>
      <c r="AO32" s="249">
        <v>51.386698720300998</v>
      </c>
      <c r="AP32" s="249">
        <v>53.0977212009361</v>
      </c>
      <c r="AQ32" s="249">
        <v>26.980528902650502</v>
      </c>
      <c r="AR32" s="249">
        <v>33.680349175701799</v>
      </c>
      <c r="AS32" s="249">
        <v>9.3235189415368396</v>
      </c>
      <c r="AT32" s="249">
        <v>2.6236986684855701</v>
      </c>
    </row>
    <row r="33" spans="1:46" x14ac:dyDescent="0.4">
      <c r="A33" s="239" t="s">
        <v>287</v>
      </c>
      <c r="B33" s="240">
        <v>132</v>
      </c>
      <c r="C33" s="241" t="s">
        <v>288</v>
      </c>
      <c r="D33" s="241" t="s">
        <v>289</v>
      </c>
      <c r="E33" s="241" t="s">
        <v>290</v>
      </c>
      <c r="F33" s="239">
        <v>1</v>
      </c>
      <c r="G33" s="255" t="e">
        <f t="shared" si="0"/>
        <v>#N/A</v>
      </c>
      <c r="H33" s="255" t="e">
        <f t="shared" si="1"/>
        <v>#N/A</v>
      </c>
      <c r="I33" s="239">
        <v>1.1919999999999999</v>
      </c>
      <c r="J33" s="239">
        <v>21.625</v>
      </c>
      <c r="K33" s="239">
        <v>42</v>
      </c>
      <c r="L33" s="239">
        <v>12.2</v>
      </c>
      <c r="M33" s="239">
        <v>24.5</v>
      </c>
      <c r="N33" s="255">
        <v>256.827</v>
      </c>
      <c r="O33" s="255">
        <v>263.67500000000001</v>
      </c>
      <c r="P33" s="241">
        <v>4.2553937086053999</v>
      </c>
      <c r="Q33" s="241">
        <v>10.5650885615609</v>
      </c>
      <c r="R33" s="241">
        <v>30.4395565886764</v>
      </c>
      <c r="S33" s="241">
        <v>52.171305976396603</v>
      </c>
      <c r="T33" s="241">
        <v>12.040400736682701</v>
      </c>
      <c r="U33" s="241">
        <v>19.874468027115501</v>
      </c>
      <c r="V33" s="241">
        <v>69.560443411323604</v>
      </c>
      <c r="W33" s="241">
        <v>21.7317493877201</v>
      </c>
      <c r="X33" s="241">
        <v>57.856066535060599</v>
      </c>
      <c r="Y33" s="241">
        <v>63.927468685146103</v>
      </c>
      <c r="Z33" s="241">
        <v>65.759051813088206</v>
      </c>
      <c r="AA33" s="241">
        <v>36.124317147340399</v>
      </c>
      <c r="AB33" s="241">
        <v>44.027302425367999</v>
      </c>
      <c r="AC33" s="241">
        <v>44.897148664275903</v>
      </c>
      <c r="AD33" s="241">
        <v>11.704376876263</v>
      </c>
      <c r="AE33" s="241">
        <v>3.8013915982353899</v>
      </c>
      <c r="AF33" s="241">
        <v>3.9965867071205099</v>
      </c>
      <c r="AG33" s="241">
        <v>10.033184791883899</v>
      </c>
      <c r="AH33" s="241">
        <v>28.882146581966399</v>
      </c>
      <c r="AI33" s="241">
        <v>50.161752157011499</v>
      </c>
      <c r="AJ33" s="241">
        <v>11.487626813311801</v>
      </c>
      <c r="AK33" s="241">
        <v>18.848961790082502</v>
      </c>
      <c r="AL33" s="241">
        <v>71.117853418033604</v>
      </c>
      <c r="AM33" s="241">
        <v>21.279605575045</v>
      </c>
      <c r="AN33" s="241">
        <v>54.997250402958201</v>
      </c>
      <c r="AO33" s="241">
        <v>63.4269460510098</v>
      </c>
      <c r="AP33" s="241">
        <v>65.777946335450807</v>
      </c>
      <c r="AQ33" s="241">
        <v>33.717644827913198</v>
      </c>
      <c r="AR33" s="241">
        <v>44.498340760405803</v>
      </c>
      <c r="AS33" s="241">
        <v>16.1206030150754</v>
      </c>
      <c r="AT33" s="241">
        <v>5.3399070825827302</v>
      </c>
    </row>
    <row r="34" spans="1:46" x14ac:dyDescent="0.4">
      <c r="A34" s="256" t="s">
        <v>291</v>
      </c>
      <c r="B34" s="257">
        <v>116</v>
      </c>
      <c r="C34" s="258" t="s">
        <v>292</v>
      </c>
      <c r="D34" s="258" t="s">
        <v>293</v>
      </c>
      <c r="E34" s="258" t="s">
        <v>294</v>
      </c>
      <c r="F34" s="256">
        <v>1</v>
      </c>
      <c r="G34" s="259" t="e">
        <f t="shared" si="0"/>
        <v>#N/A</v>
      </c>
      <c r="H34" s="259" t="e">
        <f t="shared" si="1"/>
        <v>#N/A</v>
      </c>
      <c r="I34" s="256">
        <v>1.623</v>
      </c>
      <c r="J34" s="256">
        <v>24.462</v>
      </c>
      <c r="K34" s="256">
        <v>161</v>
      </c>
      <c r="L34" s="256">
        <v>14.8</v>
      </c>
      <c r="M34" s="256">
        <v>28.7</v>
      </c>
      <c r="N34" s="259">
        <v>7598.1540000000005</v>
      </c>
      <c r="O34" s="259">
        <v>7979.7449999999999</v>
      </c>
      <c r="P34" s="249">
        <v>4.6919686018472397</v>
      </c>
      <c r="Q34" s="249">
        <v>11.892941364441899</v>
      </c>
      <c r="R34" s="249">
        <v>32.983524682442599</v>
      </c>
      <c r="S34" s="249">
        <v>54.584666222874702</v>
      </c>
      <c r="T34" s="249">
        <v>13.2514160676396</v>
      </c>
      <c r="U34" s="249">
        <v>21.0905833180007</v>
      </c>
      <c r="V34" s="249">
        <v>67.016475317557394</v>
      </c>
      <c r="W34" s="249">
        <v>21.601141540432099</v>
      </c>
      <c r="X34" s="249">
        <v>54.691415836004403</v>
      </c>
      <c r="Y34" s="249">
        <v>61.416417724620999</v>
      </c>
      <c r="Z34" s="249">
        <v>63.622150854010101</v>
      </c>
      <c r="AA34" s="249">
        <v>33.0902742955723</v>
      </c>
      <c r="AB34" s="249">
        <v>42.021009313577999</v>
      </c>
      <c r="AC34" s="249">
        <v>43.470716703030803</v>
      </c>
      <c r="AD34" s="249">
        <v>12.325059481553</v>
      </c>
      <c r="AE34" s="249">
        <v>3.39432446354733</v>
      </c>
      <c r="AF34" s="249">
        <v>4.3705657260977597</v>
      </c>
      <c r="AG34" s="249">
        <v>10.8764001857202</v>
      </c>
      <c r="AH34" s="249">
        <v>30.287083108545399</v>
      </c>
      <c r="AI34" s="249">
        <v>49.942773860568202</v>
      </c>
      <c r="AJ34" s="249">
        <v>12.0418008344878</v>
      </c>
      <c r="AK34" s="249">
        <v>19.410682922825199</v>
      </c>
      <c r="AL34" s="249">
        <v>69.712916891454597</v>
      </c>
      <c r="AM34" s="249">
        <v>19.655690752022799</v>
      </c>
      <c r="AN34" s="249">
        <v>53.5065844835894</v>
      </c>
      <c r="AO34" s="249">
        <v>61.852440146896903</v>
      </c>
      <c r="AP34" s="249">
        <v>64.905958774371896</v>
      </c>
      <c r="AQ34" s="249">
        <v>33.8508937315666</v>
      </c>
      <c r="AR34" s="249">
        <v>45.250268022349097</v>
      </c>
      <c r="AS34" s="249">
        <v>16.206332407865201</v>
      </c>
      <c r="AT34" s="249">
        <v>4.8069581170826901</v>
      </c>
    </row>
    <row r="35" spans="1:46" x14ac:dyDescent="0.4">
      <c r="A35" s="245" t="s">
        <v>295</v>
      </c>
      <c r="B35" s="260">
        <v>120</v>
      </c>
      <c r="C35" s="242" t="s">
        <v>296</v>
      </c>
      <c r="D35" s="242" t="s">
        <v>297</v>
      </c>
      <c r="E35" s="242" t="s">
        <v>298</v>
      </c>
      <c r="F35" s="245">
        <v>1</v>
      </c>
      <c r="G35" s="246" t="e">
        <f t="shared" si="0"/>
        <v>#N/A</v>
      </c>
      <c r="H35" s="246" t="e">
        <f t="shared" si="1"/>
        <v>#N/A</v>
      </c>
      <c r="I35" s="245">
        <v>2.5099999999999998</v>
      </c>
      <c r="J35" s="245">
        <v>37.235999999999997</v>
      </c>
      <c r="K35" s="245">
        <v>596</v>
      </c>
      <c r="L35" s="245">
        <v>25.7</v>
      </c>
      <c r="M35" s="245">
        <v>87.9</v>
      </c>
      <c r="N35" s="246">
        <v>11672.284</v>
      </c>
      <c r="O35" s="246">
        <v>11671.895</v>
      </c>
      <c r="P35" s="241">
        <v>6.71079456257233</v>
      </c>
      <c r="Q35" s="241">
        <v>16.1424362189954</v>
      </c>
      <c r="R35" s="241">
        <v>42.817318358600602</v>
      </c>
      <c r="S35" s="241">
        <v>63.179160136953499</v>
      </c>
      <c r="T35" s="241">
        <v>16.828865713000098</v>
      </c>
      <c r="U35" s="241">
        <v>26.674882139605199</v>
      </c>
      <c r="V35" s="241">
        <v>57.182681641399398</v>
      </c>
      <c r="W35" s="241">
        <v>20.3618417783529</v>
      </c>
      <c r="X35" s="241">
        <v>48.1579612010811</v>
      </c>
      <c r="Y35" s="241">
        <v>52.682371333665301</v>
      </c>
      <c r="Z35" s="241">
        <v>54.253049360348001</v>
      </c>
      <c r="AA35" s="241">
        <v>27.7961194227282</v>
      </c>
      <c r="AB35" s="241">
        <v>33.891207581995097</v>
      </c>
      <c r="AC35" s="241">
        <v>35.092866143421503</v>
      </c>
      <c r="AD35" s="241">
        <v>9.0247204403182799</v>
      </c>
      <c r="AE35" s="241">
        <v>2.9296322810514202</v>
      </c>
      <c r="AF35" s="241">
        <v>6.5901723756082502</v>
      </c>
      <c r="AG35" s="241">
        <v>15.882031152610599</v>
      </c>
      <c r="AH35" s="241">
        <v>42.2280443749708</v>
      </c>
      <c r="AI35" s="241">
        <v>62.415451818235198</v>
      </c>
      <c r="AJ35" s="241">
        <v>16.620120383193999</v>
      </c>
      <c r="AK35" s="241">
        <v>26.346013222360199</v>
      </c>
      <c r="AL35" s="241">
        <v>57.7719556250292</v>
      </c>
      <c r="AM35" s="241">
        <v>20.187407443264402</v>
      </c>
      <c r="AN35" s="241">
        <v>47.8751479515537</v>
      </c>
      <c r="AO35" s="241">
        <v>52.586559423298503</v>
      </c>
      <c r="AP35" s="241">
        <v>54.2904129963472</v>
      </c>
      <c r="AQ35" s="241">
        <v>27.687740508289401</v>
      </c>
      <c r="AR35" s="241">
        <v>34.103005553082902</v>
      </c>
      <c r="AS35" s="241">
        <v>9.8968076734754806</v>
      </c>
      <c r="AT35" s="241">
        <v>3.4815426286819799</v>
      </c>
    </row>
    <row r="36" spans="1:46" x14ac:dyDescent="0.4">
      <c r="A36" s="247" t="s">
        <v>299</v>
      </c>
      <c r="B36" s="248">
        <v>124</v>
      </c>
      <c r="C36" s="249" t="s">
        <v>300</v>
      </c>
      <c r="D36" s="249" t="s">
        <v>301</v>
      </c>
      <c r="E36" s="249" t="s">
        <v>302</v>
      </c>
      <c r="F36" s="247">
        <v>1.7894598340248968</v>
      </c>
      <c r="G36" s="250" t="e">
        <f t="shared" si="0"/>
        <v>#N/A</v>
      </c>
      <c r="H36" s="250" t="e">
        <f t="shared" si="1"/>
        <v>#N/A</v>
      </c>
      <c r="I36" s="247">
        <v>1.036</v>
      </c>
      <c r="J36" s="247">
        <v>10.9</v>
      </c>
      <c r="K36" s="247">
        <v>7</v>
      </c>
      <c r="L36" s="247">
        <v>3.2</v>
      </c>
      <c r="M36" s="247">
        <v>4.9000000000000004</v>
      </c>
      <c r="N36" s="250">
        <v>17826.268</v>
      </c>
      <c r="O36" s="250">
        <v>18113.659</v>
      </c>
      <c r="P36" s="249">
        <v>2.1620958464217002</v>
      </c>
      <c r="Q36" s="249">
        <v>5.5826772042246899</v>
      </c>
      <c r="R36" s="249">
        <v>16.5133049721905</v>
      </c>
      <c r="S36" s="249">
        <v>29.7546014679012</v>
      </c>
      <c r="T36" s="249">
        <v>6.6620786807423702</v>
      </c>
      <c r="U36" s="249">
        <v>10.930627767965801</v>
      </c>
      <c r="V36" s="249">
        <v>83.486695027809503</v>
      </c>
      <c r="W36" s="249">
        <v>13.241296495710699</v>
      </c>
      <c r="X36" s="249">
        <v>47.248470627727599</v>
      </c>
      <c r="Y36" s="249">
        <v>62.562999726022298</v>
      </c>
      <c r="Z36" s="249">
        <v>68.730044897787906</v>
      </c>
      <c r="AA36" s="249">
        <v>34.0071741320169</v>
      </c>
      <c r="AB36" s="249">
        <v>55.488748402077199</v>
      </c>
      <c r="AC36" s="249">
        <v>60.779373450460902</v>
      </c>
      <c r="AD36" s="249">
        <v>36.238224400081997</v>
      </c>
      <c r="AE36" s="249">
        <v>14.756650130021599</v>
      </c>
      <c r="AF36" s="249">
        <v>2.0163071414781499</v>
      </c>
      <c r="AG36" s="249">
        <v>5.2297881946436098</v>
      </c>
      <c r="AH36" s="249">
        <v>15.439398522407901</v>
      </c>
      <c r="AI36" s="249">
        <v>27.849569211830701</v>
      </c>
      <c r="AJ36" s="249">
        <v>6.2469266976926097</v>
      </c>
      <c r="AK36" s="249">
        <v>10.209610327764301</v>
      </c>
      <c r="AL36" s="249">
        <v>84.560601477592101</v>
      </c>
      <c r="AM36" s="249">
        <v>12.410170689422801</v>
      </c>
      <c r="AN36" s="249">
        <v>45.898694460351699</v>
      </c>
      <c r="AO36" s="249">
        <v>60.871113892560302</v>
      </c>
      <c r="AP36" s="249">
        <v>67.067575910532497</v>
      </c>
      <c r="AQ36" s="249">
        <v>33.4885237709289</v>
      </c>
      <c r="AR36" s="249">
        <v>54.657405221109599</v>
      </c>
      <c r="AS36" s="249">
        <v>38.661907017240402</v>
      </c>
      <c r="AT36" s="249">
        <v>17.4930255670596</v>
      </c>
    </row>
    <row r="37" spans="1:46" x14ac:dyDescent="0.4">
      <c r="A37" s="251" t="s">
        <v>303</v>
      </c>
      <c r="B37" s="252">
        <v>140</v>
      </c>
      <c r="C37" s="253" t="s">
        <v>304</v>
      </c>
      <c r="D37" s="253" t="s">
        <v>297</v>
      </c>
      <c r="E37" s="253" t="s">
        <v>298</v>
      </c>
      <c r="F37" s="251">
        <v>1</v>
      </c>
      <c r="G37" s="254" t="e">
        <f t="shared" ref="G37:G69" si="2">VLOOKUP($B37,pop_lookup,MATCH(baseline_year,year_lookup,0),FALSE)</f>
        <v>#N/A</v>
      </c>
      <c r="H37" s="254" t="e">
        <f t="shared" si="1"/>
        <v>#N/A</v>
      </c>
      <c r="I37" s="251">
        <v>1.95</v>
      </c>
      <c r="J37" s="251">
        <v>34.076000000000001</v>
      </c>
      <c r="K37" s="251">
        <v>882</v>
      </c>
      <c r="L37" s="251">
        <v>42.6</v>
      </c>
      <c r="M37" s="251">
        <v>130.1</v>
      </c>
      <c r="N37" s="254">
        <v>2415.4180000000001</v>
      </c>
      <c r="O37" s="254">
        <v>2484.8560000000002</v>
      </c>
      <c r="P37" s="241">
        <v>6.2269553344390101</v>
      </c>
      <c r="Q37" s="241">
        <v>14.6722016644738</v>
      </c>
      <c r="R37" s="241">
        <v>39.460540577241701</v>
      </c>
      <c r="S37" s="241">
        <v>60.076019968386397</v>
      </c>
      <c r="T37" s="241">
        <v>15.2309869347666</v>
      </c>
      <c r="U37" s="241">
        <v>24.788338912767902</v>
      </c>
      <c r="V37" s="241">
        <v>60.539459422758299</v>
      </c>
      <c r="W37" s="241">
        <v>20.615479391144699</v>
      </c>
      <c r="X37" s="241">
        <v>50.099858492401701</v>
      </c>
      <c r="Y37" s="241">
        <v>55.253210831417199</v>
      </c>
      <c r="Z37" s="241">
        <v>57.111150119772198</v>
      </c>
      <c r="AA37" s="241">
        <v>29.484379101257002</v>
      </c>
      <c r="AB37" s="241">
        <v>36.495670728627502</v>
      </c>
      <c r="AC37" s="241">
        <v>37.897125880489398</v>
      </c>
      <c r="AD37" s="241">
        <v>10.439600930356599</v>
      </c>
      <c r="AE37" s="241">
        <v>3.4283093029860701</v>
      </c>
      <c r="AF37" s="241">
        <v>6.0077525619190801</v>
      </c>
      <c r="AG37" s="241">
        <v>14.234225242831</v>
      </c>
      <c r="AH37" s="241">
        <v>38.656083088919402</v>
      </c>
      <c r="AI37" s="241">
        <v>59.121132170234397</v>
      </c>
      <c r="AJ37" s="241">
        <v>14.9857778478914</v>
      </c>
      <c r="AK37" s="241">
        <v>24.4218578460885</v>
      </c>
      <c r="AL37" s="241">
        <v>61.343916911080598</v>
      </c>
      <c r="AM37" s="241">
        <v>20.465049081315001</v>
      </c>
      <c r="AN37" s="241">
        <v>49.315734996313701</v>
      </c>
      <c r="AO37" s="241">
        <v>54.924913153921203</v>
      </c>
      <c r="AP37" s="241">
        <v>57.073246900424003</v>
      </c>
      <c r="AQ37" s="241">
        <v>28.850685914998699</v>
      </c>
      <c r="AR37" s="241">
        <v>36.608197819109002</v>
      </c>
      <c r="AS37" s="241">
        <v>12.0281819147669</v>
      </c>
      <c r="AT37" s="241">
        <v>4.2706700106565503</v>
      </c>
    </row>
    <row r="38" spans="1:46" x14ac:dyDescent="0.4">
      <c r="A38" s="247" t="s">
        <v>305</v>
      </c>
      <c r="B38" s="248">
        <v>148</v>
      </c>
      <c r="C38" s="249" t="s">
        <v>306</v>
      </c>
      <c r="D38" s="249" t="s">
        <v>297</v>
      </c>
      <c r="E38" s="249" t="s">
        <v>298</v>
      </c>
      <c r="F38" s="247">
        <v>1</v>
      </c>
      <c r="G38" s="250" t="e">
        <f t="shared" si="2"/>
        <v>#N/A</v>
      </c>
      <c r="H38" s="250" t="e">
        <f t="shared" si="1"/>
        <v>#N/A</v>
      </c>
      <c r="I38" s="247">
        <v>3.31</v>
      </c>
      <c r="J38" s="247">
        <v>45.744999999999997</v>
      </c>
      <c r="K38" s="247">
        <v>856</v>
      </c>
      <c r="L38" s="247">
        <v>39.299999999999997</v>
      </c>
      <c r="M38" s="247">
        <v>138.69999999999999</v>
      </c>
      <c r="N38" s="250">
        <v>7027.5709999999999</v>
      </c>
      <c r="O38" s="250">
        <v>7009.9009999999998</v>
      </c>
      <c r="P38" s="249">
        <v>8.0023951376656299</v>
      </c>
      <c r="Q38" s="249">
        <v>18.904056607894798</v>
      </c>
      <c r="R38" s="249">
        <v>48.078560856944698</v>
      </c>
      <c r="S38" s="249">
        <v>68.392877140622204</v>
      </c>
      <c r="T38" s="249">
        <v>18.644877440583699</v>
      </c>
      <c r="U38" s="249">
        <v>29.1745042490499</v>
      </c>
      <c r="V38" s="249">
        <v>51.921439143055203</v>
      </c>
      <c r="W38" s="249">
        <v>20.314316283677499</v>
      </c>
      <c r="X38" s="249">
        <v>44.342888887212901</v>
      </c>
      <c r="Y38" s="249">
        <v>48.2811628655192</v>
      </c>
      <c r="Z38" s="249">
        <v>49.672582461280001</v>
      </c>
      <c r="AA38" s="249">
        <v>24.028572603535402</v>
      </c>
      <c r="AB38" s="249">
        <v>29.358266177602498</v>
      </c>
      <c r="AC38" s="249">
        <v>30.304610227346</v>
      </c>
      <c r="AD38" s="249">
        <v>7.5785502558423099</v>
      </c>
      <c r="AE38" s="249">
        <v>2.24885668177525</v>
      </c>
      <c r="AF38" s="249">
        <v>7.8672437741988102</v>
      </c>
      <c r="AG38" s="249">
        <v>18.600134295762501</v>
      </c>
      <c r="AH38" s="249">
        <v>47.361210950054797</v>
      </c>
      <c r="AI38" s="249">
        <v>67.5283003283499</v>
      </c>
      <c r="AJ38" s="249">
        <v>18.375452092690001</v>
      </c>
      <c r="AK38" s="249">
        <v>28.7610766542923</v>
      </c>
      <c r="AL38" s="249">
        <v>52.638789049945203</v>
      </c>
      <c r="AM38" s="249">
        <v>20.167089378295099</v>
      </c>
      <c r="AN38" s="249">
        <v>44.092405869925997</v>
      </c>
      <c r="AO38" s="249">
        <v>48.366146683098698</v>
      </c>
      <c r="AP38" s="249">
        <v>49.985656002845097</v>
      </c>
      <c r="AQ38" s="249">
        <v>23.925316491630898</v>
      </c>
      <c r="AR38" s="249">
        <v>29.818566624550002</v>
      </c>
      <c r="AS38" s="249">
        <v>8.5463831800192303</v>
      </c>
      <c r="AT38" s="249">
        <v>2.65313304710009</v>
      </c>
    </row>
    <row r="39" spans="1:46" x14ac:dyDescent="0.4">
      <c r="A39" s="239" t="s">
        <v>307</v>
      </c>
      <c r="B39" s="240">
        <v>152</v>
      </c>
      <c r="C39" s="241" t="s">
        <v>308</v>
      </c>
      <c r="D39" s="241" t="s">
        <v>309</v>
      </c>
      <c r="E39" s="241" t="s">
        <v>310</v>
      </c>
      <c r="F39" s="239">
        <v>1</v>
      </c>
      <c r="G39" s="255" t="e">
        <f t="shared" si="2"/>
        <v>#N/A</v>
      </c>
      <c r="H39" s="255" t="e">
        <f t="shared" si="1"/>
        <v>#N/A</v>
      </c>
      <c r="I39" s="239">
        <v>1.0680000000000001</v>
      </c>
      <c r="J39" s="239">
        <v>13.385</v>
      </c>
      <c r="K39" s="239">
        <v>22</v>
      </c>
      <c r="L39" s="239">
        <v>4.9000000000000004</v>
      </c>
      <c r="M39" s="239">
        <v>8.1</v>
      </c>
      <c r="N39" s="255">
        <v>8855.0689999999995</v>
      </c>
      <c r="O39" s="255">
        <v>9093.0720000000001</v>
      </c>
      <c r="P39" s="241">
        <v>2.6759023560403699</v>
      </c>
      <c r="Q39" s="241">
        <v>6.7280108150484201</v>
      </c>
      <c r="R39" s="241">
        <v>20.7803914345557</v>
      </c>
      <c r="S39" s="241">
        <v>36.621114979454099</v>
      </c>
      <c r="T39" s="241">
        <v>8.2933063536828406</v>
      </c>
      <c r="U39" s="241">
        <v>14.0523806195073</v>
      </c>
      <c r="V39" s="241">
        <v>79.219608565444304</v>
      </c>
      <c r="W39" s="241">
        <v>15.840723544898401</v>
      </c>
      <c r="X39" s="241">
        <v>53.312142457613803</v>
      </c>
      <c r="Y39" s="241">
        <v>65.449845732427406</v>
      </c>
      <c r="Z39" s="241">
        <v>69.922188071035904</v>
      </c>
      <c r="AA39" s="241">
        <v>37.4714189127154</v>
      </c>
      <c r="AB39" s="241">
        <v>54.081464526137502</v>
      </c>
      <c r="AC39" s="241">
        <v>57.377926699385398</v>
      </c>
      <c r="AD39" s="241">
        <v>25.907466107830398</v>
      </c>
      <c r="AE39" s="241">
        <v>9.2974204944083407</v>
      </c>
      <c r="AF39" s="241">
        <v>2.5109665908287102</v>
      </c>
      <c r="AG39" s="241">
        <v>6.3195474532699203</v>
      </c>
      <c r="AH39" s="241">
        <v>19.530055409216999</v>
      </c>
      <c r="AI39" s="241">
        <v>34.1983545274908</v>
      </c>
      <c r="AJ39" s="241">
        <v>7.8067786112328204</v>
      </c>
      <c r="AK39" s="241">
        <v>13.210507955947101</v>
      </c>
      <c r="AL39" s="241">
        <v>80.469944590782902</v>
      </c>
      <c r="AM39" s="241">
        <v>14.668299118273801</v>
      </c>
      <c r="AN39" s="241">
        <v>50.546558962691599</v>
      </c>
      <c r="AO39" s="241">
        <v>62.8918807637287</v>
      </c>
      <c r="AP39" s="241">
        <v>67.805984600143901</v>
      </c>
      <c r="AQ39" s="241">
        <v>35.878259844417798</v>
      </c>
      <c r="AR39" s="241">
        <v>53.1376854818702</v>
      </c>
      <c r="AS39" s="241">
        <v>29.923385628091399</v>
      </c>
      <c r="AT39" s="241">
        <v>12.663959990639</v>
      </c>
    </row>
    <row r="40" spans="1:46" x14ac:dyDescent="0.4">
      <c r="A40" s="256" t="s">
        <v>311</v>
      </c>
      <c r="B40" s="257">
        <v>156</v>
      </c>
      <c r="C40" s="258" t="s">
        <v>312</v>
      </c>
      <c r="D40" s="258" t="s">
        <v>313</v>
      </c>
      <c r="E40" s="258" t="s">
        <v>314</v>
      </c>
      <c r="F40" s="256">
        <v>8.7103003448275889</v>
      </c>
      <c r="G40" s="259" t="e">
        <f t="shared" si="2"/>
        <v>#N/A</v>
      </c>
      <c r="H40" s="259" t="e">
        <f t="shared" si="1"/>
        <v>#N/A</v>
      </c>
      <c r="I40" s="256">
        <v>0.51600000000000001</v>
      </c>
      <c r="J40" s="256">
        <v>12.1</v>
      </c>
      <c r="K40" s="256">
        <v>27</v>
      </c>
      <c r="L40" s="256">
        <v>5.5</v>
      </c>
      <c r="M40" s="256">
        <v>10.7</v>
      </c>
      <c r="N40" s="259">
        <v>708977.11600000004</v>
      </c>
      <c r="O40" s="259">
        <v>667071.82700000005</v>
      </c>
      <c r="P40" s="249">
        <v>2.54143759979977</v>
      </c>
      <c r="Q40" s="249">
        <v>6.2975857742635499</v>
      </c>
      <c r="R40" s="249">
        <v>17.963965708591399</v>
      </c>
      <c r="S40" s="249">
        <v>31.7667866729848</v>
      </c>
      <c r="T40" s="249">
        <v>7.1263293073623002</v>
      </c>
      <c r="U40" s="249">
        <v>11.6663799343278</v>
      </c>
      <c r="V40" s="249">
        <v>82.036034291408697</v>
      </c>
      <c r="W40" s="249">
        <v>13.802820964393399</v>
      </c>
      <c r="X40" s="249">
        <v>54.781700034447901</v>
      </c>
      <c r="Y40" s="249">
        <v>67.583082046896394</v>
      </c>
      <c r="Z40" s="249">
        <v>73.113370135912803</v>
      </c>
      <c r="AA40" s="249">
        <v>40.978879070054496</v>
      </c>
      <c r="AB40" s="249">
        <v>59.310549171519398</v>
      </c>
      <c r="AC40" s="249">
        <v>62.897195683252498</v>
      </c>
      <c r="AD40" s="249">
        <v>27.2543342569607</v>
      </c>
      <c r="AE40" s="249">
        <v>8.9226641554958199</v>
      </c>
      <c r="AF40" s="249">
        <v>2.3443518924087301</v>
      </c>
      <c r="AG40" s="249">
        <v>5.7771143136584602</v>
      </c>
      <c r="AH40" s="249">
        <v>16.453228206862899</v>
      </c>
      <c r="AI40" s="249">
        <v>29.526767737411902</v>
      </c>
      <c r="AJ40" s="249">
        <v>6.4935185757739999</v>
      </c>
      <c r="AK40" s="249">
        <v>10.6761138932045</v>
      </c>
      <c r="AL40" s="249">
        <v>83.546771793137097</v>
      </c>
      <c r="AM40" s="249">
        <v>13.073539530548899</v>
      </c>
      <c r="AN40" s="249">
        <v>54.413277597466298</v>
      </c>
      <c r="AO40" s="249">
        <v>67.540785529232096</v>
      </c>
      <c r="AP40" s="249">
        <v>73.327537935431295</v>
      </c>
      <c r="AQ40" s="249">
        <v>41.339738066917299</v>
      </c>
      <c r="AR40" s="249">
        <v>60.253998404882402</v>
      </c>
      <c r="AS40" s="249">
        <v>29.133494195670799</v>
      </c>
      <c r="AT40" s="249">
        <v>10.219233857705699</v>
      </c>
    </row>
    <row r="41" spans="1:46" x14ac:dyDescent="0.4">
      <c r="A41" s="245" t="s">
        <v>315</v>
      </c>
      <c r="B41" s="260">
        <v>170</v>
      </c>
      <c r="C41" s="242" t="s">
        <v>316</v>
      </c>
      <c r="D41" s="242" t="s">
        <v>317</v>
      </c>
      <c r="E41" s="242" t="s">
        <v>318</v>
      </c>
      <c r="F41" s="245">
        <v>3843.5433617021281</v>
      </c>
      <c r="G41" s="246" t="e">
        <f t="shared" si="2"/>
        <v>#N/A</v>
      </c>
      <c r="H41" s="246" t="e">
        <f t="shared" si="1"/>
        <v>#N/A</v>
      </c>
      <c r="I41" s="245">
        <v>0.98199999999999998</v>
      </c>
      <c r="J41" s="245">
        <v>16.076000000000001</v>
      </c>
      <c r="K41" s="245">
        <v>64</v>
      </c>
      <c r="L41" s="245">
        <v>8.5</v>
      </c>
      <c r="M41" s="245">
        <v>15.9</v>
      </c>
      <c r="N41" s="246">
        <v>23743.535</v>
      </c>
      <c r="O41" s="246">
        <v>24485.169000000002</v>
      </c>
      <c r="P41" s="241">
        <v>3.1886321897729202</v>
      </c>
      <c r="Q41" s="241">
        <v>8.0393884061492908</v>
      </c>
      <c r="R41" s="241">
        <v>25.1809934788565</v>
      </c>
      <c r="S41" s="241">
        <v>42.859906917819899</v>
      </c>
      <c r="T41" s="241">
        <v>10.1232609213413</v>
      </c>
      <c r="U41" s="241">
        <v>17.1416050727072</v>
      </c>
      <c r="V41" s="241">
        <v>74.819006521143606</v>
      </c>
      <c r="W41" s="241">
        <v>17.678913438963502</v>
      </c>
      <c r="X41" s="241">
        <v>54.728459768101096</v>
      </c>
      <c r="Y41" s="241">
        <v>64.933772498492701</v>
      </c>
      <c r="Z41" s="241">
        <v>68.539356081560697</v>
      </c>
      <c r="AA41" s="241">
        <v>37.049546329137598</v>
      </c>
      <c r="AB41" s="241">
        <v>50.860442642597199</v>
      </c>
      <c r="AC41" s="241">
        <v>53.400624633189601</v>
      </c>
      <c r="AD41" s="241">
        <v>20.090546753042499</v>
      </c>
      <c r="AE41" s="241">
        <v>6.2796504395828103</v>
      </c>
      <c r="AF41" s="241">
        <v>2.95984479420992</v>
      </c>
      <c r="AG41" s="241">
        <v>7.47163721843211</v>
      </c>
      <c r="AH41" s="241">
        <v>23.4196382308</v>
      </c>
      <c r="AI41" s="241">
        <v>40.0435422765512</v>
      </c>
      <c r="AJ41" s="241">
        <v>9.4183789378786802</v>
      </c>
      <c r="AK41" s="241">
        <v>15.9480010123679</v>
      </c>
      <c r="AL41" s="241">
        <v>76.580361769199996</v>
      </c>
      <c r="AM41" s="241">
        <v>16.6239040457511</v>
      </c>
      <c r="AN41" s="241">
        <v>53.924610444796201</v>
      </c>
      <c r="AO41" s="241">
        <v>64.822015318742601</v>
      </c>
      <c r="AP41" s="241">
        <v>68.805001917691499</v>
      </c>
      <c r="AQ41" s="241">
        <v>37.300706399045097</v>
      </c>
      <c r="AR41" s="241">
        <v>52.181097871940402</v>
      </c>
      <c r="AS41" s="241">
        <v>22.655751324403798</v>
      </c>
      <c r="AT41" s="241">
        <v>7.7753598515084796</v>
      </c>
    </row>
    <row r="42" spans="1:46" x14ac:dyDescent="0.4">
      <c r="A42" s="247" t="s">
        <v>319</v>
      </c>
      <c r="B42" s="248">
        <v>174</v>
      </c>
      <c r="C42" s="249" t="s">
        <v>320</v>
      </c>
      <c r="D42" s="249" t="s">
        <v>321</v>
      </c>
      <c r="E42" s="249" t="s">
        <v>322</v>
      </c>
      <c r="F42" s="247">
        <v>1</v>
      </c>
      <c r="G42" s="250" t="e">
        <f t="shared" si="2"/>
        <v>#N/A</v>
      </c>
      <c r="H42" s="250" t="e">
        <f t="shared" si="1"/>
        <v>#N/A</v>
      </c>
      <c r="I42" s="247">
        <v>2.4180000000000001</v>
      </c>
      <c r="J42" s="247">
        <v>34.326000000000001</v>
      </c>
      <c r="K42" s="247">
        <v>335</v>
      </c>
      <c r="L42" s="247">
        <v>34</v>
      </c>
      <c r="M42" s="247">
        <v>73.5</v>
      </c>
      <c r="N42" s="250">
        <v>397.7</v>
      </c>
      <c r="O42" s="250">
        <v>390.774</v>
      </c>
      <c r="P42" s="249">
        <v>6.33442293185818</v>
      </c>
      <c r="Q42" s="249">
        <v>15.280864973598201</v>
      </c>
      <c r="R42" s="249">
        <v>40.635906462157401</v>
      </c>
      <c r="S42" s="249">
        <v>60.557958259994997</v>
      </c>
      <c r="T42" s="249">
        <v>15.9821473472467</v>
      </c>
      <c r="U42" s="249">
        <v>25.355041488559198</v>
      </c>
      <c r="V42" s="249">
        <v>59.364093537842599</v>
      </c>
      <c r="W42" s="249">
        <v>19.9220517978376</v>
      </c>
      <c r="X42" s="249">
        <v>49.638923811918502</v>
      </c>
      <c r="Y42" s="249">
        <v>55.127231581594202</v>
      </c>
      <c r="Z42" s="249">
        <v>56.853407090771903</v>
      </c>
      <c r="AA42" s="249">
        <v>29.716872014081002</v>
      </c>
      <c r="AB42" s="249">
        <v>36.931355292934398</v>
      </c>
      <c r="AC42" s="249">
        <v>37.995222529544897</v>
      </c>
      <c r="AD42" s="249">
        <v>9.7251697259240597</v>
      </c>
      <c r="AE42" s="249">
        <v>2.5106864470706598</v>
      </c>
      <c r="AF42" s="249">
        <v>6.2028179971031898</v>
      </c>
      <c r="AG42" s="249">
        <v>14.9746400732904</v>
      </c>
      <c r="AH42" s="249">
        <v>39.905162574787497</v>
      </c>
      <c r="AI42" s="249">
        <v>59.549509435121102</v>
      </c>
      <c r="AJ42" s="249">
        <v>15.7039618807802</v>
      </c>
      <c r="AK42" s="249">
        <v>24.930522501496998</v>
      </c>
      <c r="AL42" s="249">
        <v>60.094837425212503</v>
      </c>
      <c r="AM42" s="249">
        <v>19.644346860333599</v>
      </c>
      <c r="AN42" s="249">
        <v>49.404515141744298</v>
      </c>
      <c r="AO42" s="249">
        <v>55.128539769790201</v>
      </c>
      <c r="AP42" s="249">
        <v>57.013516764165502</v>
      </c>
      <c r="AQ42" s="249">
        <v>29.760168281410699</v>
      </c>
      <c r="AR42" s="249">
        <v>37.369169903831903</v>
      </c>
      <c r="AS42" s="249">
        <v>10.6903222834682</v>
      </c>
      <c r="AT42" s="249">
        <v>3.0813206610470498</v>
      </c>
    </row>
    <row r="43" spans="1:46" x14ac:dyDescent="0.4">
      <c r="A43" s="251" t="s">
        <v>323</v>
      </c>
      <c r="B43" s="252">
        <v>178</v>
      </c>
      <c r="C43" s="253" t="s">
        <v>324</v>
      </c>
      <c r="D43" s="253" t="s">
        <v>297</v>
      </c>
      <c r="E43" s="253" t="s">
        <v>298</v>
      </c>
      <c r="F43" s="251">
        <v>1</v>
      </c>
      <c r="G43" s="254" t="e">
        <f t="shared" si="2"/>
        <v>#N/A</v>
      </c>
      <c r="H43" s="254" t="e">
        <f t="shared" si="1"/>
        <v>#N/A</v>
      </c>
      <c r="I43" s="251">
        <v>2.556</v>
      </c>
      <c r="J43" s="251">
        <v>37.011000000000003</v>
      </c>
      <c r="K43" s="251">
        <v>442</v>
      </c>
      <c r="L43" s="251">
        <v>18</v>
      </c>
      <c r="M43" s="251">
        <v>45</v>
      </c>
      <c r="N43" s="254">
        <v>2311.12</v>
      </c>
      <c r="O43" s="254">
        <v>2309.21</v>
      </c>
      <c r="P43" s="241">
        <v>6.8954446329052601</v>
      </c>
      <c r="Q43" s="241">
        <v>16.576465090518901</v>
      </c>
      <c r="R43" s="241">
        <v>42.918065699747302</v>
      </c>
      <c r="S43" s="241">
        <v>61.513724947211699</v>
      </c>
      <c r="T43" s="241">
        <v>16.8766658589775</v>
      </c>
      <c r="U43" s="241">
        <v>26.341600609228401</v>
      </c>
      <c r="V43" s="241">
        <v>57.081934300252698</v>
      </c>
      <c r="W43" s="241">
        <v>18.5956592474644</v>
      </c>
      <c r="X43" s="241">
        <v>46.926382013915301</v>
      </c>
      <c r="Y43" s="241">
        <v>51.977828931427197</v>
      </c>
      <c r="Z43" s="241">
        <v>53.747793277718202</v>
      </c>
      <c r="AA43" s="241">
        <v>28.330722766450901</v>
      </c>
      <c r="AB43" s="241">
        <v>35.152134030253698</v>
      </c>
      <c r="AC43" s="241">
        <v>36.490446190591598</v>
      </c>
      <c r="AD43" s="241">
        <v>10.1555522863374</v>
      </c>
      <c r="AE43" s="241">
        <v>3.33414102253453</v>
      </c>
      <c r="AF43" s="241">
        <v>6.7601041048670298</v>
      </c>
      <c r="AG43" s="241">
        <v>16.280026502570099</v>
      </c>
      <c r="AH43" s="241">
        <v>42.343138995587204</v>
      </c>
      <c r="AI43" s="241">
        <v>60.847605891192202</v>
      </c>
      <c r="AJ43" s="241">
        <v>16.673884142195799</v>
      </c>
      <c r="AK43" s="241">
        <v>26.063112493017101</v>
      </c>
      <c r="AL43" s="241">
        <v>57.656861004412796</v>
      </c>
      <c r="AM43" s="241">
        <v>18.504466895604999</v>
      </c>
      <c r="AN43" s="241">
        <v>46.487586663837398</v>
      </c>
      <c r="AO43" s="241">
        <v>51.720415206932202</v>
      </c>
      <c r="AP43" s="241">
        <v>53.669046990096199</v>
      </c>
      <c r="AQ43" s="241">
        <v>27.983119768232399</v>
      </c>
      <c r="AR43" s="241">
        <v>35.1645800944912</v>
      </c>
      <c r="AS43" s="241">
        <v>11.1692743405754</v>
      </c>
      <c r="AT43" s="241">
        <v>3.9878140143165801</v>
      </c>
    </row>
    <row r="44" spans="1:46" x14ac:dyDescent="0.4">
      <c r="A44" s="247" t="s">
        <v>325</v>
      </c>
      <c r="B44" s="248">
        <v>184</v>
      </c>
      <c r="C44" s="249" t="s">
        <v>326</v>
      </c>
      <c r="D44" s="249" t="s">
        <v>327</v>
      </c>
      <c r="E44" s="249" t="s">
        <v>328</v>
      </c>
      <c r="F44" s="247">
        <v>2.0092387136929473</v>
      </c>
      <c r="G44" s="250" t="e">
        <f t="shared" si="2"/>
        <v>#N/A</v>
      </c>
      <c r="H44" s="250" t="e">
        <f t="shared" si="1"/>
        <v>#N/A</v>
      </c>
      <c r="I44" s="247">
        <v>0.53400000000000003</v>
      </c>
      <c r="J44" s="247" t="e">
        <v>#N/A</v>
      </c>
      <c r="K44" s="247" t="e">
        <v>#N/A</v>
      </c>
      <c r="L44" s="247">
        <v>4.4000000000000004</v>
      </c>
      <c r="M44" s="247">
        <v>8.1</v>
      </c>
      <c r="N44" s="250" t="e">
        <v>#N/A</v>
      </c>
      <c r="O44" s="250" t="e">
        <v>#N/A</v>
      </c>
      <c r="P44" s="249" t="e">
        <v>#N/A</v>
      </c>
      <c r="Q44" s="249" t="e">
        <v>#N/A</v>
      </c>
      <c r="R44" s="249" t="e">
        <v>#N/A</v>
      </c>
      <c r="S44" s="249" t="e">
        <v>#N/A</v>
      </c>
      <c r="T44" s="249" t="e">
        <v>#N/A</v>
      </c>
      <c r="U44" s="249" t="e">
        <v>#N/A</v>
      </c>
      <c r="V44" s="249" t="e">
        <v>#N/A</v>
      </c>
      <c r="W44" s="249" t="e">
        <v>#N/A</v>
      </c>
      <c r="X44" s="249" t="e">
        <v>#N/A</v>
      </c>
      <c r="Y44" s="249" t="e">
        <v>#N/A</v>
      </c>
      <c r="Z44" s="249" t="e">
        <v>#N/A</v>
      </c>
      <c r="AA44" s="249" t="e">
        <v>#N/A</v>
      </c>
      <c r="AB44" s="249" t="e">
        <v>#N/A</v>
      </c>
      <c r="AC44" s="249" t="e">
        <v>#N/A</v>
      </c>
      <c r="AD44" s="249" t="e">
        <v>#N/A</v>
      </c>
      <c r="AE44" s="249" t="e">
        <v>#N/A</v>
      </c>
      <c r="AF44" s="249" t="e">
        <v>#N/A</v>
      </c>
      <c r="AG44" s="249" t="e">
        <v>#N/A</v>
      </c>
      <c r="AH44" s="249" t="e">
        <v>#N/A</v>
      </c>
      <c r="AI44" s="249" t="e">
        <v>#N/A</v>
      </c>
      <c r="AJ44" s="249" t="e">
        <v>#N/A</v>
      </c>
      <c r="AK44" s="249" t="e">
        <v>#N/A</v>
      </c>
      <c r="AL44" s="249" t="e">
        <v>#N/A</v>
      </c>
      <c r="AM44" s="249" t="e">
        <v>#N/A</v>
      </c>
      <c r="AN44" s="249" t="e">
        <v>#N/A</v>
      </c>
      <c r="AO44" s="249" t="e">
        <v>#N/A</v>
      </c>
      <c r="AP44" s="249" t="e">
        <v>#N/A</v>
      </c>
      <c r="AQ44" s="249" t="e">
        <v>#N/A</v>
      </c>
      <c r="AR44" s="249" t="e">
        <v>#N/A</v>
      </c>
      <c r="AS44" s="249" t="e">
        <v>#N/A</v>
      </c>
      <c r="AT44" s="249" t="e">
        <v>#N/A</v>
      </c>
    </row>
    <row r="45" spans="1:46" x14ac:dyDescent="0.4">
      <c r="A45" s="239" t="s">
        <v>329</v>
      </c>
      <c r="B45" s="240">
        <v>188</v>
      </c>
      <c r="C45" s="241" t="s">
        <v>330</v>
      </c>
      <c r="D45" s="241" t="s">
        <v>331</v>
      </c>
      <c r="E45" s="241" t="s">
        <v>332</v>
      </c>
      <c r="F45" s="239">
        <v>1</v>
      </c>
      <c r="G45" s="255" t="e">
        <f t="shared" si="2"/>
        <v>#N/A</v>
      </c>
      <c r="H45" s="255" t="e">
        <f t="shared" si="1"/>
        <v>#N/A</v>
      </c>
      <c r="I45" s="239">
        <v>1.123</v>
      </c>
      <c r="J45" s="239">
        <v>15.022</v>
      </c>
      <c r="K45" s="239">
        <v>25</v>
      </c>
      <c r="L45" s="239">
        <v>6.2</v>
      </c>
      <c r="M45" s="239">
        <v>9.6999999999999993</v>
      </c>
      <c r="N45" s="255">
        <v>2405.5450000000001</v>
      </c>
      <c r="O45" s="255">
        <v>2402.3049999999998</v>
      </c>
      <c r="P45" s="241">
        <v>2.9052875751648801</v>
      </c>
      <c r="Q45" s="241">
        <v>7.4525731175263799</v>
      </c>
      <c r="R45" s="241">
        <v>22.808802163335098</v>
      </c>
      <c r="S45" s="241">
        <v>39.981251649834</v>
      </c>
      <c r="T45" s="241">
        <v>9.1893105304619098</v>
      </c>
      <c r="U45" s="241">
        <v>15.3562290458087</v>
      </c>
      <c r="V45" s="241">
        <v>77.191197836664898</v>
      </c>
      <c r="W45" s="241">
        <v>17.172449486498898</v>
      </c>
      <c r="X45" s="241">
        <v>53.9979505683743</v>
      </c>
      <c r="Y45" s="241">
        <v>65.133639154536695</v>
      </c>
      <c r="Z45" s="241">
        <v>68.893743413654704</v>
      </c>
      <c r="AA45" s="241">
        <v>36.825501081875402</v>
      </c>
      <c r="AB45" s="241">
        <v>51.721293927155799</v>
      </c>
      <c r="AC45" s="241">
        <v>54.839215229812801</v>
      </c>
      <c r="AD45" s="241">
        <v>23.193247268290602</v>
      </c>
      <c r="AE45" s="241">
        <v>8.2974544230101692</v>
      </c>
      <c r="AF45" s="241">
        <v>2.7749598822797301</v>
      </c>
      <c r="AG45" s="241">
        <v>7.1203281848058397</v>
      </c>
      <c r="AH45" s="241">
        <v>21.807847046898701</v>
      </c>
      <c r="AI45" s="241">
        <v>38.325816247312503</v>
      </c>
      <c r="AJ45" s="241">
        <v>8.7855205729497303</v>
      </c>
      <c r="AK45" s="241">
        <v>14.687518862092899</v>
      </c>
      <c r="AL45" s="241">
        <v>78.192152953101299</v>
      </c>
      <c r="AM45" s="241">
        <v>16.517969200413798</v>
      </c>
      <c r="AN45" s="241">
        <v>53.221676681353898</v>
      </c>
      <c r="AO45" s="241">
        <v>64.731497457649994</v>
      </c>
      <c r="AP45" s="241">
        <v>68.6866988163451</v>
      </c>
      <c r="AQ45" s="241">
        <v>36.703707480940203</v>
      </c>
      <c r="AR45" s="241">
        <v>52.168729615931397</v>
      </c>
      <c r="AS45" s="241">
        <v>24.970476271747302</v>
      </c>
      <c r="AT45" s="241">
        <v>9.5054541367561605</v>
      </c>
    </row>
    <row r="46" spans="1:46" x14ac:dyDescent="0.4">
      <c r="A46" s="256" t="s">
        <v>333</v>
      </c>
      <c r="B46" s="257">
        <v>384</v>
      </c>
      <c r="C46" s="258" t="s">
        <v>334</v>
      </c>
      <c r="D46" s="258" t="s">
        <v>252</v>
      </c>
      <c r="E46" s="258" t="s">
        <v>253</v>
      </c>
      <c r="F46" s="256">
        <v>1</v>
      </c>
      <c r="G46" s="259" t="e">
        <f t="shared" si="2"/>
        <v>#N/A</v>
      </c>
      <c r="H46" s="259" t="e">
        <f t="shared" si="1"/>
        <v>#N/A</v>
      </c>
      <c r="I46" s="256">
        <v>2.403</v>
      </c>
      <c r="J46" s="256">
        <v>37.32</v>
      </c>
      <c r="K46" s="256">
        <v>645</v>
      </c>
      <c r="L46" s="256">
        <v>37.9</v>
      </c>
      <c r="M46" s="256">
        <v>92.6</v>
      </c>
      <c r="N46" s="259">
        <v>11546.154</v>
      </c>
      <c r="O46" s="259">
        <v>11155.402</v>
      </c>
      <c r="P46" s="249">
        <v>6.7391184978132097</v>
      </c>
      <c r="Q46" s="249">
        <v>15.981286928963501</v>
      </c>
      <c r="R46" s="249">
        <v>42.023361198889297</v>
      </c>
      <c r="S46" s="249">
        <v>62.132351603832802</v>
      </c>
      <c r="T46" s="249">
        <v>16.3076986501306</v>
      </c>
      <c r="U46" s="249">
        <v>26.042074269925699</v>
      </c>
      <c r="V46" s="249">
        <v>57.976638801110703</v>
      </c>
      <c r="W46" s="249">
        <v>20.108990404943501</v>
      </c>
      <c r="X46" s="249">
        <v>47.146539012038097</v>
      </c>
      <c r="Y46" s="249">
        <v>52.739128544448697</v>
      </c>
      <c r="Z46" s="249">
        <v>54.7056881451607</v>
      </c>
      <c r="AA46" s="249">
        <v>27.0375486070946</v>
      </c>
      <c r="AB46" s="249">
        <v>34.596697740217202</v>
      </c>
      <c r="AC46" s="249">
        <v>36.093906247916003</v>
      </c>
      <c r="AD46" s="249">
        <v>10.8300997890726</v>
      </c>
      <c r="AE46" s="249">
        <v>3.2709506559500299</v>
      </c>
      <c r="AF46" s="249">
        <v>6.8747948303431796</v>
      </c>
      <c r="AG46" s="249">
        <v>16.331486754130399</v>
      </c>
      <c r="AH46" s="249">
        <v>42.941070164929897</v>
      </c>
      <c r="AI46" s="249">
        <v>63.401318930505603</v>
      </c>
      <c r="AJ46" s="249">
        <v>16.687655003378602</v>
      </c>
      <c r="AK46" s="249">
        <v>26.609583410799502</v>
      </c>
      <c r="AL46" s="249">
        <v>57.058929835070003</v>
      </c>
      <c r="AM46" s="249">
        <v>20.460248765575599</v>
      </c>
      <c r="AN46" s="249">
        <v>47.635199520375899</v>
      </c>
      <c r="AO46" s="249">
        <v>52.615046952140297</v>
      </c>
      <c r="AP46" s="249">
        <v>54.284596825824799</v>
      </c>
      <c r="AQ46" s="249">
        <v>27.1749507548002</v>
      </c>
      <c r="AR46" s="249">
        <v>33.8243480602492</v>
      </c>
      <c r="AS46" s="249">
        <v>9.4237303146941702</v>
      </c>
      <c r="AT46" s="249">
        <v>2.7743330092452099</v>
      </c>
    </row>
    <row r="47" spans="1:46" x14ac:dyDescent="0.4">
      <c r="A47" s="245" t="s">
        <v>335</v>
      </c>
      <c r="B47" s="260">
        <v>191</v>
      </c>
      <c r="C47" s="242" t="s">
        <v>336</v>
      </c>
      <c r="D47" s="242" t="s">
        <v>337</v>
      </c>
      <c r="E47" s="242" t="s">
        <v>338</v>
      </c>
      <c r="F47" s="245">
        <v>1</v>
      </c>
      <c r="G47" s="246" t="e">
        <f t="shared" si="2"/>
        <v>#N/A</v>
      </c>
      <c r="H47" s="246" t="e">
        <f t="shared" si="1"/>
        <v>#N/A</v>
      </c>
      <c r="I47" s="245">
        <v>-0.35599999999999998</v>
      </c>
      <c r="J47" s="245">
        <v>9.4</v>
      </c>
      <c r="K47" s="245">
        <v>8</v>
      </c>
      <c r="L47" s="245">
        <v>2.6</v>
      </c>
      <c r="M47" s="245">
        <v>4.3</v>
      </c>
      <c r="N47" s="246">
        <v>2045.25</v>
      </c>
      <c r="O47" s="246">
        <v>2195.067</v>
      </c>
      <c r="P47" s="241">
        <v>1.9536975919814199</v>
      </c>
      <c r="Q47" s="241">
        <v>5.2112944627796098</v>
      </c>
      <c r="R47" s="241">
        <v>15.868377948906</v>
      </c>
      <c r="S47" s="241">
        <v>27.760567167827901</v>
      </c>
      <c r="T47" s="241">
        <v>6.5035081285906404</v>
      </c>
      <c r="U47" s="241">
        <v>10.6570834861264</v>
      </c>
      <c r="V47" s="241">
        <v>84.131622051093998</v>
      </c>
      <c r="W47" s="241">
        <v>11.892189218921899</v>
      </c>
      <c r="X47" s="241">
        <v>46.918958562522903</v>
      </c>
      <c r="Y47" s="241">
        <v>61.650262804058201</v>
      </c>
      <c r="Z47" s="241">
        <v>68.634983498349797</v>
      </c>
      <c r="AA47" s="241">
        <v>35.026769343601003</v>
      </c>
      <c r="AB47" s="241">
        <v>56.742794279427898</v>
      </c>
      <c r="AC47" s="241">
        <v>62.256496760787201</v>
      </c>
      <c r="AD47" s="241">
        <v>37.212663488571103</v>
      </c>
      <c r="AE47" s="241">
        <v>15.4966385527442</v>
      </c>
      <c r="AF47" s="241">
        <v>1.7204030674234501</v>
      </c>
      <c r="AG47" s="241">
        <v>4.5888804305289996</v>
      </c>
      <c r="AH47" s="241">
        <v>13.9796644020433</v>
      </c>
      <c r="AI47" s="241">
        <v>24.529729616453601</v>
      </c>
      <c r="AJ47" s="241">
        <v>5.7280711704927496</v>
      </c>
      <c r="AK47" s="241">
        <v>9.3907839715143098</v>
      </c>
      <c r="AL47" s="241">
        <v>86.020335597956702</v>
      </c>
      <c r="AM47" s="241">
        <v>10.550065214410299</v>
      </c>
      <c r="AN47" s="241">
        <v>42.520934440725497</v>
      </c>
      <c r="AO47" s="241">
        <v>56.845736371600502</v>
      </c>
      <c r="AP47" s="241">
        <v>63.877640181370303</v>
      </c>
      <c r="AQ47" s="241">
        <v>31.970869226315202</v>
      </c>
      <c r="AR47" s="241">
        <v>53.32757496696</v>
      </c>
      <c r="AS47" s="241">
        <v>43.499401157231198</v>
      </c>
      <c r="AT47" s="241">
        <v>22.142695416586399</v>
      </c>
    </row>
    <row r="48" spans="1:46" x14ac:dyDescent="0.4">
      <c r="A48" s="247" t="s">
        <v>339</v>
      </c>
      <c r="B48" s="248">
        <v>192</v>
      </c>
      <c r="C48" s="249" t="s">
        <v>340</v>
      </c>
      <c r="D48" s="249" t="s">
        <v>341</v>
      </c>
      <c r="E48" s="249" t="s">
        <v>342</v>
      </c>
      <c r="F48" s="247">
        <v>1</v>
      </c>
      <c r="G48" s="250" t="e">
        <f t="shared" si="2"/>
        <v>#N/A</v>
      </c>
      <c r="H48" s="250" t="e">
        <f t="shared" si="1"/>
        <v>#N/A</v>
      </c>
      <c r="I48" s="247">
        <v>0.14399999999999999</v>
      </c>
      <c r="J48" s="247">
        <v>10.4</v>
      </c>
      <c r="K48" s="247">
        <v>39</v>
      </c>
      <c r="L48" s="247">
        <v>2.2999999999999998</v>
      </c>
      <c r="M48" s="247">
        <v>5.5</v>
      </c>
      <c r="N48" s="250">
        <v>5721.942</v>
      </c>
      <c r="O48" s="250">
        <v>5667.62</v>
      </c>
      <c r="P48" s="249">
        <v>2.10031838840729</v>
      </c>
      <c r="Q48" s="249">
        <v>5.2770195853086204</v>
      </c>
      <c r="R48" s="249">
        <v>16.719550809847401</v>
      </c>
      <c r="S48" s="249">
        <v>29.644113834079398</v>
      </c>
      <c r="T48" s="249">
        <v>6.6712839801591803</v>
      </c>
      <c r="U48" s="249">
        <v>11.442531224538801</v>
      </c>
      <c r="V48" s="249">
        <v>83.280449190152595</v>
      </c>
      <c r="W48" s="249">
        <v>12.924563024232</v>
      </c>
      <c r="X48" s="249">
        <v>50.3329464017636</v>
      </c>
      <c r="Y48" s="249">
        <v>64.983951252913798</v>
      </c>
      <c r="Z48" s="249">
        <v>70.342726298169396</v>
      </c>
      <c r="AA48" s="249">
        <v>37.408383377531599</v>
      </c>
      <c r="AB48" s="249">
        <v>57.418163273937402</v>
      </c>
      <c r="AC48" s="249">
        <v>61.525352756109697</v>
      </c>
      <c r="AD48" s="249">
        <v>32.947502788389002</v>
      </c>
      <c r="AE48" s="249">
        <v>12.937722891983199</v>
      </c>
      <c r="AF48" s="249">
        <v>2.0050391522367401</v>
      </c>
      <c r="AG48" s="249">
        <v>5.04280456346756</v>
      </c>
      <c r="AH48" s="249">
        <v>15.8871448685692</v>
      </c>
      <c r="AI48" s="249">
        <v>27.951079994777398</v>
      </c>
      <c r="AJ48" s="249">
        <v>6.3481849524138898</v>
      </c>
      <c r="AK48" s="249">
        <v>10.8443403051016</v>
      </c>
      <c r="AL48" s="249">
        <v>84.112855131430805</v>
      </c>
      <c r="AM48" s="249">
        <v>12.0639351262082</v>
      </c>
      <c r="AN48" s="249">
        <v>48.610351434993902</v>
      </c>
      <c r="AO48" s="249">
        <v>63.508897914821397</v>
      </c>
      <c r="AP48" s="249">
        <v>69.094964023699504</v>
      </c>
      <c r="AQ48" s="249">
        <v>36.546416308785702</v>
      </c>
      <c r="AR48" s="249">
        <v>57.031028897491403</v>
      </c>
      <c r="AS48" s="249">
        <v>35.502503696437003</v>
      </c>
      <c r="AT48" s="249">
        <v>15.0178911077313</v>
      </c>
    </row>
    <row r="49" spans="1:46" x14ac:dyDescent="0.4">
      <c r="A49" s="251" t="s">
        <v>343</v>
      </c>
      <c r="B49" s="252">
        <v>196</v>
      </c>
      <c r="C49" s="253" t="s">
        <v>344</v>
      </c>
      <c r="D49" s="253" t="s">
        <v>345</v>
      </c>
      <c r="E49" s="253" t="s">
        <v>343</v>
      </c>
      <c r="F49" s="251">
        <v>1</v>
      </c>
      <c r="G49" s="254" t="e">
        <f t="shared" si="2"/>
        <v>#N/A</v>
      </c>
      <c r="H49" s="254" t="e">
        <f t="shared" si="1"/>
        <v>#N/A</v>
      </c>
      <c r="I49" s="251">
        <v>1.0860000000000001</v>
      </c>
      <c r="J49" s="251">
        <v>11.436</v>
      </c>
      <c r="K49" s="251">
        <v>7</v>
      </c>
      <c r="L49" s="251">
        <v>1.5</v>
      </c>
      <c r="M49" s="251">
        <v>2.7</v>
      </c>
      <c r="N49" s="254">
        <v>594.49199999999996</v>
      </c>
      <c r="O49" s="254">
        <v>570.80799999999999</v>
      </c>
      <c r="P49" s="241">
        <v>2.2531842312428099</v>
      </c>
      <c r="Q49" s="241">
        <v>5.6993197553541499</v>
      </c>
      <c r="R49" s="241">
        <v>16.7701163346185</v>
      </c>
      <c r="S49" s="241">
        <v>31.9654427645788</v>
      </c>
      <c r="T49" s="241">
        <v>6.6537480739858603</v>
      </c>
      <c r="U49" s="241">
        <v>11.0707965792643</v>
      </c>
      <c r="V49" s="241">
        <v>83.229883665381607</v>
      </c>
      <c r="W49" s="241">
        <v>15.195326429960399</v>
      </c>
      <c r="X49" s="241">
        <v>54.703175147857301</v>
      </c>
      <c r="Y49" s="241">
        <v>66.865323671302605</v>
      </c>
      <c r="Z49" s="241">
        <v>71.865054533955004</v>
      </c>
      <c r="AA49" s="241">
        <v>39.507848717896998</v>
      </c>
      <c r="AB49" s="241">
        <v>56.6697281039947</v>
      </c>
      <c r="AC49" s="241">
        <v>60.683407009682199</v>
      </c>
      <c r="AD49" s="241">
        <v>28.526708517524199</v>
      </c>
      <c r="AE49" s="241">
        <v>11.3648291314265</v>
      </c>
      <c r="AF49" s="241">
        <v>2.2124777508374098</v>
      </c>
      <c r="AG49" s="241">
        <v>5.5692982579080903</v>
      </c>
      <c r="AH49" s="241">
        <v>16.322826589676399</v>
      </c>
      <c r="AI49" s="241">
        <v>30.971359896848</v>
      </c>
      <c r="AJ49" s="241">
        <v>6.4492789169037597</v>
      </c>
      <c r="AK49" s="241">
        <v>10.753528331768299</v>
      </c>
      <c r="AL49" s="241">
        <v>83.677173410323604</v>
      </c>
      <c r="AM49" s="241">
        <v>14.648533307171601</v>
      </c>
      <c r="AN49" s="241">
        <v>51.719842749225698</v>
      </c>
      <c r="AO49" s="241">
        <v>64.029235750024498</v>
      </c>
      <c r="AP49" s="241">
        <v>69.289673585513896</v>
      </c>
      <c r="AQ49" s="241">
        <v>37.071309442054101</v>
      </c>
      <c r="AR49" s="241">
        <v>54.641140278342299</v>
      </c>
      <c r="AS49" s="241">
        <v>31.957330661097998</v>
      </c>
      <c r="AT49" s="241">
        <v>14.3874998248097</v>
      </c>
    </row>
    <row r="50" spans="1:46" x14ac:dyDescent="0.4">
      <c r="A50" s="247" t="s">
        <v>346</v>
      </c>
      <c r="B50" s="248">
        <v>203</v>
      </c>
      <c r="C50" s="249" t="s">
        <v>347</v>
      </c>
      <c r="D50" s="249" t="s">
        <v>348</v>
      </c>
      <c r="E50" s="249" t="s">
        <v>349</v>
      </c>
      <c r="F50" s="247">
        <v>34.416233609958496</v>
      </c>
      <c r="G50" s="250" t="e">
        <f t="shared" si="2"/>
        <v>#N/A</v>
      </c>
      <c r="H50" s="250" t="e">
        <f t="shared" si="1"/>
        <v>#N/A</v>
      </c>
      <c r="I50" s="247">
        <v>6.9000000000000006E-2</v>
      </c>
      <c r="J50" s="247">
        <v>10.199999999999999</v>
      </c>
      <c r="K50" s="247">
        <v>4</v>
      </c>
      <c r="L50" s="247">
        <v>1.8</v>
      </c>
      <c r="M50" s="247">
        <v>3.4</v>
      </c>
      <c r="N50" s="250">
        <v>5180.067</v>
      </c>
      <c r="O50" s="250">
        <v>5363.1189999999997</v>
      </c>
      <c r="P50" s="249">
        <v>1.94694392948971</v>
      </c>
      <c r="Q50" s="249">
        <v>5.3353750057673004</v>
      </c>
      <c r="R50" s="249">
        <v>15.7181557690277</v>
      </c>
      <c r="S50" s="249">
        <v>26.2198539130864</v>
      </c>
      <c r="T50" s="249">
        <v>6.6604543918061303</v>
      </c>
      <c r="U50" s="249">
        <v>10.382780763260399</v>
      </c>
      <c r="V50" s="249">
        <v>84.281844230972297</v>
      </c>
      <c r="W50" s="249">
        <v>10.5016981440588</v>
      </c>
      <c r="X50" s="249">
        <v>49.441329619867801</v>
      </c>
      <c r="Y50" s="249">
        <v>62.357031289363597</v>
      </c>
      <c r="Z50" s="249">
        <v>69.045400378026002</v>
      </c>
      <c r="AA50" s="249">
        <v>38.939631475809101</v>
      </c>
      <c r="AB50" s="249">
        <v>58.543702233967203</v>
      </c>
      <c r="AC50" s="249">
        <v>64.548952745205796</v>
      </c>
      <c r="AD50" s="249">
        <v>34.840514611104403</v>
      </c>
      <c r="AE50" s="249">
        <v>15.2364438529463</v>
      </c>
      <c r="AF50" s="249">
        <v>1.77676460283652</v>
      </c>
      <c r="AG50" s="249">
        <v>4.8764534219732898</v>
      </c>
      <c r="AH50" s="249">
        <v>14.388716715030901</v>
      </c>
      <c r="AI50" s="249">
        <v>24.038810252019399</v>
      </c>
      <c r="AJ50" s="249">
        <v>6.1019343408192102</v>
      </c>
      <c r="AK50" s="249">
        <v>9.5122632930576394</v>
      </c>
      <c r="AL50" s="249">
        <v>85.611283284969105</v>
      </c>
      <c r="AM50" s="249">
        <v>9.6500935369884608</v>
      </c>
      <c r="AN50" s="249">
        <v>45.252697171179697</v>
      </c>
      <c r="AO50" s="249">
        <v>57.744103757533601</v>
      </c>
      <c r="AP50" s="249">
        <v>64.792670086194207</v>
      </c>
      <c r="AQ50" s="249">
        <v>35.602603634191198</v>
      </c>
      <c r="AR50" s="249">
        <v>55.142576549205799</v>
      </c>
      <c r="AS50" s="249">
        <v>40.3585861137894</v>
      </c>
      <c r="AT50" s="249">
        <v>20.818613198774798</v>
      </c>
    </row>
    <row r="51" spans="1:46" x14ac:dyDescent="0.4">
      <c r="A51" s="239" t="s">
        <v>350</v>
      </c>
      <c r="B51" s="240">
        <v>408</v>
      </c>
      <c r="C51" s="241" t="s">
        <v>351</v>
      </c>
      <c r="D51" s="241" t="s">
        <v>352</v>
      </c>
      <c r="E51" s="241" t="s">
        <v>353</v>
      </c>
      <c r="F51" s="239">
        <v>1</v>
      </c>
      <c r="G51" s="255" t="e">
        <f t="shared" si="2"/>
        <v>#N/A</v>
      </c>
      <c r="H51" s="255" t="e">
        <f t="shared" si="1"/>
        <v>#N/A</v>
      </c>
      <c r="I51" s="239">
        <v>0.52800000000000002</v>
      </c>
      <c r="J51" s="239">
        <v>14.358000000000001</v>
      </c>
      <c r="K51" s="239">
        <v>82</v>
      </c>
      <c r="L51" s="239">
        <v>13.5</v>
      </c>
      <c r="M51" s="239">
        <v>24.9</v>
      </c>
      <c r="N51" s="255">
        <v>12299.766</v>
      </c>
      <c r="O51" s="255">
        <v>12855.550999999999</v>
      </c>
      <c r="P51" s="241">
        <v>3.0209843016525699</v>
      </c>
      <c r="Q51" s="241">
        <v>7.2616747342998202</v>
      </c>
      <c r="R51" s="241">
        <v>22.109989734764099</v>
      </c>
      <c r="S51" s="241">
        <v>38.561587269221199</v>
      </c>
      <c r="T51" s="241">
        <v>8.5925211910535495</v>
      </c>
      <c r="U51" s="241">
        <v>14.848315000464201</v>
      </c>
      <c r="V51" s="241">
        <v>77.890010265235901</v>
      </c>
      <c r="W51" s="241">
        <v>16.4515975344572</v>
      </c>
      <c r="X51" s="241">
        <v>55.804573843112102</v>
      </c>
      <c r="Y51" s="241">
        <v>68.217183969190998</v>
      </c>
      <c r="Z51" s="241">
        <v>71.000277566256102</v>
      </c>
      <c r="AA51" s="241">
        <v>39.352976308655002</v>
      </c>
      <c r="AB51" s="241">
        <v>54.548680031799002</v>
      </c>
      <c r="AC51" s="241">
        <v>57.6094455780703</v>
      </c>
      <c r="AD51" s="241">
        <v>22.085436422123799</v>
      </c>
      <c r="AE51" s="241">
        <v>6.8897326989797998</v>
      </c>
      <c r="AF51" s="241">
        <v>2.7665169699844099</v>
      </c>
      <c r="AG51" s="241">
        <v>6.6448182578872004</v>
      </c>
      <c r="AH51" s="241">
        <v>20.265611330078301</v>
      </c>
      <c r="AI51" s="241">
        <v>35.341876828149999</v>
      </c>
      <c r="AJ51" s="241">
        <v>7.8769708120639903</v>
      </c>
      <c r="AK51" s="241">
        <v>13.6207930721911</v>
      </c>
      <c r="AL51" s="241">
        <v>79.7343886699216</v>
      </c>
      <c r="AM51" s="241">
        <v>15.076265498071599</v>
      </c>
      <c r="AN51" s="241">
        <v>52.079813615145703</v>
      </c>
      <c r="AO51" s="241">
        <v>64.491992603039705</v>
      </c>
      <c r="AP51" s="241">
        <v>67.659799257145806</v>
      </c>
      <c r="AQ51" s="241">
        <v>37.003548117074097</v>
      </c>
      <c r="AR51" s="241">
        <v>52.5835337590742</v>
      </c>
      <c r="AS51" s="241">
        <v>27.654575054776</v>
      </c>
      <c r="AT51" s="241">
        <v>12.0745894127759</v>
      </c>
    </row>
    <row r="52" spans="1:46" x14ac:dyDescent="0.4">
      <c r="A52" s="256" t="s">
        <v>354</v>
      </c>
      <c r="B52" s="257">
        <v>180</v>
      </c>
      <c r="C52" s="258" t="s">
        <v>355</v>
      </c>
      <c r="D52" s="258" t="s">
        <v>356</v>
      </c>
      <c r="E52" s="258" t="s">
        <v>357</v>
      </c>
      <c r="F52" s="256">
        <v>1</v>
      </c>
      <c r="G52" s="259" t="e">
        <f t="shared" si="2"/>
        <v>#N/A</v>
      </c>
      <c r="H52" s="259" t="e">
        <f t="shared" si="1"/>
        <v>#N/A</v>
      </c>
      <c r="I52" s="256">
        <v>3.1709999999999998</v>
      </c>
      <c r="J52" s="256">
        <v>42.393999999999998</v>
      </c>
      <c r="K52" s="256">
        <v>693</v>
      </c>
      <c r="L52" s="256">
        <v>30.1</v>
      </c>
      <c r="M52" s="256">
        <v>98.3</v>
      </c>
      <c r="N52" s="259">
        <v>38533.135000000002</v>
      </c>
      <c r="O52" s="259">
        <v>38733.678999999996</v>
      </c>
      <c r="P52" s="249">
        <v>7.6510592766459302</v>
      </c>
      <c r="Q52" s="249">
        <v>18.1798626039641</v>
      </c>
      <c r="R52" s="249">
        <v>46.482330077736997</v>
      </c>
      <c r="S52" s="249">
        <v>66.0574074754104</v>
      </c>
      <c r="T52" s="249">
        <v>18.126822538576199</v>
      </c>
      <c r="U52" s="249">
        <v>28.3024674737729</v>
      </c>
      <c r="V52" s="249">
        <v>53.517669922263003</v>
      </c>
      <c r="W52" s="249">
        <v>19.5750773976734</v>
      </c>
      <c r="X52" s="249">
        <v>44.718365116152597</v>
      </c>
      <c r="Y52" s="249">
        <v>49.317272004990002</v>
      </c>
      <c r="Z52" s="249">
        <v>50.861742757239902</v>
      </c>
      <c r="AA52" s="249">
        <v>25.143287718479201</v>
      </c>
      <c r="AB52" s="249">
        <v>31.286665359566499</v>
      </c>
      <c r="AC52" s="249">
        <v>32.448102133397697</v>
      </c>
      <c r="AD52" s="249">
        <v>8.7993048061103707</v>
      </c>
      <c r="AE52" s="249">
        <v>2.6559271650230398</v>
      </c>
      <c r="AF52" s="249">
        <v>7.4559300189377797</v>
      </c>
      <c r="AG52" s="249">
        <v>17.7372590917584</v>
      </c>
      <c r="AH52" s="249">
        <v>45.506074958694199</v>
      </c>
      <c r="AI52" s="249">
        <v>64.873171484691696</v>
      </c>
      <c r="AJ52" s="249">
        <v>17.760523083799999</v>
      </c>
      <c r="AK52" s="249">
        <v>27.768815866935899</v>
      </c>
      <c r="AL52" s="249">
        <v>54.493925041305801</v>
      </c>
      <c r="AM52" s="249">
        <v>19.3670965259974</v>
      </c>
      <c r="AN52" s="249">
        <v>44.715894402904503</v>
      </c>
      <c r="AO52" s="249">
        <v>49.541007968801502</v>
      </c>
      <c r="AP52" s="249">
        <v>51.223574708717997</v>
      </c>
      <c r="AQ52" s="249">
        <v>25.348797876907099</v>
      </c>
      <c r="AR52" s="249">
        <v>31.856478182720501</v>
      </c>
      <c r="AS52" s="249">
        <v>9.7780306384012796</v>
      </c>
      <c r="AT52" s="249">
        <v>3.27035033258782</v>
      </c>
    </row>
    <row r="53" spans="1:46" x14ac:dyDescent="0.4">
      <c r="A53" s="245" t="s">
        <v>358</v>
      </c>
      <c r="B53" s="260">
        <v>208</v>
      </c>
      <c r="C53" s="242" t="s">
        <v>359</v>
      </c>
      <c r="D53" s="242" t="s">
        <v>360</v>
      </c>
      <c r="E53" s="242" t="s">
        <v>361</v>
      </c>
      <c r="F53" s="245">
        <v>9.412039333333329</v>
      </c>
      <c r="G53" s="246" t="e">
        <f t="shared" si="2"/>
        <v>#N/A</v>
      </c>
      <c r="H53" s="246" t="e">
        <f t="shared" si="1"/>
        <v>#N/A</v>
      </c>
      <c r="I53" s="245">
        <v>0.42099999999999999</v>
      </c>
      <c r="J53" s="245">
        <v>10</v>
      </c>
      <c r="K53" s="245">
        <v>6</v>
      </c>
      <c r="L53" s="245">
        <v>2.5</v>
      </c>
      <c r="M53" s="245">
        <v>3.5</v>
      </c>
      <c r="N53" s="246">
        <v>2813.9290000000001</v>
      </c>
      <c r="O53" s="246">
        <v>2855.152</v>
      </c>
      <c r="P53" s="241">
        <v>1.95669471404573</v>
      </c>
      <c r="Q53" s="241">
        <v>5.3692541638399502</v>
      </c>
      <c r="R53" s="241">
        <v>17.420055729906501</v>
      </c>
      <c r="S53" s="241">
        <v>30.9175178193906</v>
      </c>
      <c r="T53" s="241">
        <v>7.2645045415147296</v>
      </c>
      <c r="U53" s="241">
        <v>12.0508015660665</v>
      </c>
      <c r="V53" s="241">
        <v>82.579944270093506</v>
      </c>
      <c r="W53" s="241">
        <v>13.497462089484101</v>
      </c>
      <c r="X53" s="241">
        <v>46.091568053067398</v>
      </c>
      <c r="Y53" s="241">
        <v>59.378044008928399</v>
      </c>
      <c r="Z53" s="241">
        <v>65.089808591474807</v>
      </c>
      <c r="AA53" s="241">
        <v>32.594105963583303</v>
      </c>
      <c r="AB53" s="241">
        <v>51.592346501990598</v>
      </c>
      <c r="AC53" s="241">
        <v>58.212236342850098</v>
      </c>
      <c r="AD53" s="241">
        <v>36.488376217026101</v>
      </c>
      <c r="AE53" s="241">
        <v>17.490135678618799</v>
      </c>
      <c r="AF53" s="241">
        <v>1.8478175592752999</v>
      </c>
      <c r="AG53" s="241">
        <v>5.0290842659164898</v>
      </c>
      <c r="AH53" s="241">
        <v>16.349742500574401</v>
      </c>
      <c r="AI53" s="241">
        <v>29.082164452190302</v>
      </c>
      <c r="AJ53" s="241">
        <v>6.7958553520092799</v>
      </c>
      <c r="AK53" s="241">
        <v>11.3206582346579</v>
      </c>
      <c r="AL53" s="241">
        <v>83.650257499425607</v>
      </c>
      <c r="AM53" s="241">
        <v>12.732421951615899</v>
      </c>
      <c r="AN53" s="241">
        <v>44.3896507086138</v>
      </c>
      <c r="AO53" s="241">
        <v>57.4615642179471</v>
      </c>
      <c r="AP53" s="241">
        <v>63.242727532544698</v>
      </c>
      <c r="AQ53" s="241">
        <v>31.657228756997899</v>
      </c>
      <c r="AR53" s="241">
        <v>50.510305580928801</v>
      </c>
      <c r="AS53" s="241">
        <v>39.260606790811799</v>
      </c>
      <c r="AT53" s="241">
        <v>20.407529966880901</v>
      </c>
    </row>
    <row r="54" spans="1:46" x14ac:dyDescent="0.4">
      <c r="A54" s="247" t="s">
        <v>362</v>
      </c>
      <c r="B54" s="248">
        <v>262</v>
      </c>
      <c r="C54" s="249" t="s">
        <v>363</v>
      </c>
      <c r="D54" s="249" t="s">
        <v>364</v>
      </c>
      <c r="E54" s="249" t="s">
        <v>365</v>
      </c>
      <c r="F54" s="247">
        <v>1</v>
      </c>
      <c r="G54" s="250" t="e">
        <f t="shared" si="2"/>
        <v>#N/A</v>
      </c>
      <c r="H54" s="250" t="e">
        <f t="shared" si="1"/>
        <v>#N/A</v>
      </c>
      <c r="I54" s="247">
        <v>1.3280000000000001</v>
      </c>
      <c r="J54" s="247">
        <v>25.486000000000001</v>
      </c>
      <c r="K54" s="247">
        <v>229</v>
      </c>
      <c r="L54" s="247">
        <v>33.4</v>
      </c>
      <c r="M54" s="247">
        <v>65.3</v>
      </c>
      <c r="N54" s="250">
        <v>445.84199999999998</v>
      </c>
      <c r="O54" s="250">
        <v>442.01900000000001</v>
      </c>
      <c r="P54" s="249">
        <v>4.7608794146805398</v>
      </c>
      <c r="Q54" s="249">
        <v>11.6056809362958</v>
      </c>
      <c r="R54" s="249">
        <v>33.019320745914499</v>
      </c>
      <c r="S54" s="249">
        <v>53.263712256808503</v>
      </c>
      <c r="T54" s="249">
        <v>13.0364568613993</v>
      </c>
      <c r="U54" s="249">
        <v>21.413639809618701</v>
      </c>
      <c r="V54" s="249">
        <v>66.980679254085501</v>
      </c>
      <c r="W54" s="249">
        <v>20.244391510894001</v>
      </c>
      <c r="X54" s="249">
        <v>54.1889279161676</v>
      </c>
      <c r="Y54" s="249">
        <v>61.164941840382902</v>
      </c>
      <c r="Z54" s="249">
        <v>63.112492766495798</v>
      </c>
      <c r="AA54" s="249">
        <v>33.944536405273602</v>
      </c>
      <c r="AB54" s="249">
        <v>42.8681012556018</v>
      </c>
      <c r="AC54" s="249">
        <v>44.524517654236298</v>
      </c>
      <c r="AD54" s="249">
        <v>12.7917513379179</v>
      </c>
      <c r="AE54" s="249">
        <v>3.86818648758977</v>
      </c>
      <c r="AF54" s="249">
        <v>4.6622430257522902</v>
      </c>
      <c r="AG54" s="249">
        <v>11.3820899101622</v>
      </c>
      <c r="AH54" s="249">
        <v>32.449057619695097</v>
      </c>
      <c r="AI54" s="249">
        <v>52.413810266074499</v>
      </c>
      <c r="AJ54" s="249">
        <v>12.8245618401019</v>
      </c>
      <c r="AK54" s="249">
        <v>21.066967709532801</v>
      </c>
      <c r="AL54" s="249">
        <v>67.550942380304903</v>
      </c>
      <c r="AM54" s="249">
        <v>19.964752646379502</v>
      </c>
      <c r="AN54" s="249">
        <v>53.990665559625299</v>
      </c>
      <c r="AO54" s="249">
        <v>60.824534691947598</v>
      </c>
      <c r="AP54" s="249">
        <v>63.043217599243498</v>
      </c>
      <c r="AQ54" s="249">
        <v>34.025912913245797</v>
      </c>
      <c r="AR54" s="249">
        <v>43.078464952864003</v>
      </c>
      <c r="AS54" s="249">
        <v>13.5602768206797</v>
      </c>
      <c r="AT54" s="249">
        <v>4.5077247810614498</v>
      </c>
    </row>
    <row r="55" spans="1:46" x14ac:dyDescent="0.4">
      <c r="A55" s="251" t="s">
        <v>366</v>
      </c>
      <c r="B55" s="252">
        <v>212</v>
      </c>
      <c r="C55" s="253" t="s">
        <v>367</v>
      </c>
      <c r="D55" s="253" t="s">
        <v>204</v>
      </c>
      <c r="E55" s="253" t="s">
        <v>205</v>
      </c>
      <c r="F55" s="251">
        <v>1</v>
      </c>
      <c r="G55" s="254" t="e">
        <f t="shared" si="2"/>
        <v>#N/A</v>
      </c>
      <c r="H55" s="254" t="e">
        <f t="shared" si="1"/>
        <v>#N/A</v>
      </c>
      <c r="I55" s="251">
        <v>0.42099999999999999</v>
      </c>
      <c r="J55" s="251">
        <v>0</v>
      </c>
      <c r="K55" s="251">
        <v>0</v>
      </c>
      <c r="L55" s="251">
        <v>15.6</v>
      </c>
      <c r="M55" s="251">
        <v>21.2</v>
      </c>
      <c r="N55" s="254" t="e">
        <v>#N/A</v>
      </c>
      <c r="O55" s="254" t="e">
        <v>#N/A</v>
      </c>
      <c r="P55" s="241" t="e">
        <v>#N/A</v>
      </c>
      <c r="Q55" s="241" t="e">
        <v>#N/A</v>
      </c>
      <c r="R55" s="241" t="e">
        <v>#N/A</v>
      </c>
      <c r="S55" s="241" t="e">
        <v>#N/A</v>
      </c>
      <c r="T55" s="241" t="e">
        <v>#N/A</v>
      </c>
      <c r="U55" s="241" t="e">
        <v>#N/A</v>
      </c>
      <c r="V55" s="241" t="e">
        <v>#N/A</v>
      </c>
      <c r="W55" s="241" t="e">
        <v>#N/A</v>
      </c>
      <c r="X55" s="241" t="e">
        <v>#N/A</v>
      </c>
      <c r="Y55" s="241" t="e">
        <v>#N/A</v>
      </c>
      <c r="Z55" s="241" t="e">
        <v>#N/A</v>
      </c>
      <c r="AA55" s="241" t="e">
        <v>#N/A</v>
      </c>
      <c r="AB55" s="241" t="e">
        <v>#N/A</v>
      </c>
      <c r="AC55" s="241" t="e">
        <v>#N/A</v>
      </c>
      <c r="AD55" s="241" t="e">
        <v>#N/A</v>
      </c>
      <c r="AE55" s="241" t="e">
        <v>#N/A</v>
      </c>
      <c r="AF55" s="241" t="e">
        <v>#N/A</v>
      </c>
      <c r="AG55" s="241" t="e">
        <v>#N/A</v>
      </c>
      <c r="AH55" s="241" t="e">
        <v>#N/A</v>
      </c>
      <c r="AI55" s="241" t="e">
        <v>#N/A</v>
      </c>
      <c r="AJ55" s="241" t="e">
        <v>#N/A</v>
      </c>
      <c r="AK55" s="241" t="e">
        <v>#N/A</v>
      </c>
      <c r="AL55" s="241" t="e">
        <v>#N/A</v>
      </c>
      <c r="AM55" s="241" t="e">
        <v>#N/A</v>
      </c>
      <c r="AN55" s="241" t="e">
        <v>#N/A</v>
      </c>
      <c r="AO55" s="241" t="e">
        <v>#N/A</v>
      </c>
      <c r="AP55" s="241" t="e">
        <v>#N/A</v>
      </c>
      <c r="AQ55" s="241" t="e">
        <v>#N/A</v>
      </c>
      <c r="AR55" s="241" t="e">
        <v>#N/A</v>
      </c>
      <c r="AS55" s="241" t="e">
        <v>#N/A</v>
      </c>
      <c r="AT55" s="241" t="e">
        <v>#N/A</v>
      </c>
    </row>
    <row r="56" spans="1:46" x14ac:dyDescent="0.4">
      <c r="A56" s="247" t="s">
        <v>368</v>
      </c>
      <c r="B56" s="248">
        <v>214</v>
      </c>
      <c r="C56" s="249" t="s">
        <v>369</v>
      </c>
      <c r="D56" s="249" t="s">
        <v>370</v>
      </c>
      <c r="E56" s="249" t="s">
        <v>371</v>
      </c>
      <c r="F56" s="247">
        <v>1</v>
      </c>
      <c r="G56" s="250" t="e">
        <f t="shared" si="2"/>
        <v>#N/A</v>
      </c>
      <c r="H56" s="250" t="e">
        <f t="shared" si="1"/>
        <v>#N/A</v>
      </c>
      <c r="I56" s="247">
        <v>1.2350000000000001</v>
      </c>
      <c r="J56" s="247">
        <v>21.198</v>
      </c>
      <c r="K56" s="247">
        <v>92</v>
      </c>
      <c r="L56" s="247">
        <v>21.7</v>
      </c>
      <c r="M56" s="247">
        <v>30.9</v>
      </c>
      <c r="N56" s="250">
        <v>5246.1</v>
      </c>
      <c r="O56" s="250">
        <v>5282.2910000000002</v>
      </c>
      <c r="P56" s="249">
        <v>4.12546463086864</v>
      </c>
      <c r="Q56" s="249">
        <v>10.332532738605799</v>
      </c>
      <c r="R56" s="249">
        <v>30.6153142334305</v>
      </c>
      <c r="S56" s="249">
        <v>49.029526696021797</v>
      </c>
      <c r="T56" s="249">
        <v>12.320295076342401</v>
      </c>
      <c r="U56" s="249">
        <v>20.2827814948247</v>
      </c>
      <c r="V56" s="249">
        <v>69.384685766569405</v>
      </c>
      <c r="W56" s="249">
        <v>18.414212462591301</v>
      </c>
      <c r="X56" s="249">
        <v>51.506928956748801</v>
      </c>
      <c r="Y56" s="249">
        <v>60.057623758601601</v>
      </c>
      <c r="Z56" s="249">
        <v>63.067974304721602</v>
      </c>
      <c r="AA56" s="249">
        <v>33.0927164941576</v>
      </c>
      <c r="AB56" s="249">
        <v>44.653761842130301</v>
      </c>
      <c r="AC56" s="249">
        <v>46.824536322220297</v>
      </c>
      <c r="AD56" s="249">
        <v>17.8777568098206</v>
      </c>
      <c r="AE56" s="249">
        <v>6.3167114618478504</v>
      </c>
      <c r="AF56" s="249">
        <v>3.93041579875096</v>
      </c>
      <c r="AG56" s="249">
        <v>9.8473938675472503</v>
      </c>
      <c r="AH56" s="249">
        <v>29.306867039320601</v>
      </c>
      <c r="AI56" s="249">
        <v>47.327059414182202</v>
      </c>
      <c r="AJ56" s="249">
        <v>11.7870825367251</v>
      </c>
      <c r="AK56" s="249">
        <v>19.4594731717734</v>
      </c>
      <c r="AL56" s="249">
        <v>70.693132960679407</v>
      </c>
      <c r="AM56" s="249">
        <v>18.020192374861601</v>
      </c>
      <c r="AN56" s="249">
        <v>51.833399560910202</v>
      </c>
      <c r="AO56" s="249">
        <v>60.593518986364103</v>
      </c>
      <c r="AP56" s="249">
        <v>63.706827208118597</v>
      </c>
      <c r="AQ56" s="249">
        <v>33.813207186048601</v>
      </c>
      <c r="AR56" s="249">
        <v>45.686634833257003</v>
      </c>
      <c r="AS56" s="249">
        <v>18.859733399769201</v>
      </c>
      <c r="AT56" s="249">
        <v>6.9863057525607699</v>
      </c>
    </row>
    <row r="57" spans="1:46" x14ac:dyDescent="0.4">
      <c r="A57" s="239" t="s">
        <v>372</v>
      </c>
      <c r="B57" s="240">
        <v>218</v>
      </c>
      <c r="C57" s="241" t="s">
        <v>373</v>
      </c>
      <c r="D57" s="241" t="s">
        <v>374</v>
      </c>
      <c r="E57" s="241" t="s">
        <v>375</v>
      </c>
      <c r="F57" s="239">
        <v>1.3988592400000002</v>
      </c>
      <c r="G57" s="255" t="e">
        <f t="shared" si="2"/>
        <v>#N/A</v>
      </c>
      <c r="H57" s="255" t="e">
        <f t="shared" si="1"/>
        <v>#N/A</v>
      </c>
      <c r="I57" s="239">
        <v>1.5580000000000001</v>
      </c>
      <c r="J57" s="239">
        <v>21.07</v>
      </c>
      <c r="K57" s="239">
        <v>64</v>
      </c>
      <c r="L57" s="239">
        <v>10.8</v>
      </c>
      <c r="M57" s="239">
        <v>21.6</v>
      </c>
      <c r="N57" s="255">
        <v>8071.0640000000003</v>
      </c>
      <c r="O57" s="255">
        <v>8073.299</v>
      </c>
      <c r="P57" s="241">
        <v>4.0889900018138903</v>
      </c>
      <c r="Q57" s="241">
        <v>10.2072539630463</v>
      </c>
      <c r="R57" s="241">
        <v>29.653488065514001</v>
      </c>
      <c r="S57" s="241">
        <v>48.148112813874398</v>
      </c>
      <c r="T57" s="241">
        <v>11.858040030409899</v>
      </c>
      <c r="U57" s="241">
        <v>19.446234102467798</v>
      </c>
      <c r="V57" s="241">
        <v>70.346511934486003</v>
      </c>
      <c r="W57" s="241">
        <v>18.494624748360302</v>
      </c>
      <c r="X57" s="241">
        <v>52.704600037863699</v>
      </c>
      <c r="Y57" s="241">
        <v>61.036339198896201</v>
      </c>
      <c r="Z57" s="241">
        <v>64.152136570841193</v>
      </c>
      <c r="AA57" s="241">
        <v>34.209975289503298</v>
      </c>
      <c r="AB57" s="241">
        <v>45.657511822480899</v>
      </c>
      <c r="AC57" s="241">
        <v>47.809805497763399</v>
      </c>
      <c r="AD57" s="241">
        <v>17.6419118966223</v>
      </c>
      <c r="AE57" s="241">
        <v>6.1943753636447401</v>
      </c>
      <c r="AF57" s="241">
        <v>3.9013047825925899</v>
      </c>
      <c r="AG57" s="241">
        <v>9.7419778457356792</v>
      </c>
      <c r="AH57" s="241">
        <v>28.385236320369199</v>
      </c>
      <c r="AI57" s="241">
        <v>46.322290305363403</v>
      </c>
      <c r="AJ57" s="241">
        <v>11.348619690661801</v>
      </c>
      <c r="AK57" s="241">
        <v>18.643258474633502</v>
      </c>
      <c r="AL57" s="241">
        <v>71.614763679630798</v>
      </c>
      <c r="AM57" s="241">
        <v>17.937053984994201</v>
      </c>
      <c r="AN57" s="241">
        <v>52.366287932603498</v>
      </c>
      <c r="AO57" s="241">
        <v>61.074128432503201</v>
      </c>
      <c r="AP57" s="241">
        <v>64.400897328341202</v>
      </c>
      <c r="AQ57" s="241">
        <v>34.429233947609298</v>
      </c>
      <c r="AR57" s="241">
        <v>46.463843343347001</v>
      </c>
      <c r="AS57" s="241">
        <v>19.2484757470273</v>
      </c>
      <c r="AT57" s="241">
        <v>7.2138663512896004</v>
      </c>
    </row>
    <row r="58" spans="1:46" x14ac:dyDescent="0.4">
      <c r="A58" s="256" t="s">
        <v>376</v>
      </c>
      <c r="B58" s="257">
        <v>818</v>
      </c>
      <c r="C58" s="258" t="s">
        <v>377</v>
      </c>
      <c r="D58" s="258" t="s">
        <v>378</v>
      </c>
      <c r="E58" s="258" t="s">
        <v>379</v>
      </c>
      <c r="F58" s="256">
        <v>1</v>
      </c>
      <c r="G58" s="259" t="e">
        <f t="shared" si="2"/>
        <v>#N/A</v>
      </c>
      <c r="H58" s="259" t="e">
        <f t="shared" si="1"/>
        <v>#N/A</v>
      </c>
      <c r="I58" s="256">
        <v>2.1840000000000002</v>
      </c>
      <c r="J58" s="256">
        <v>28.032</v>
      </c>
      <c r="K58" s="256">
        <v>33</v>
      </c>
      <c r="L58" s="256">
        <v>12.8</v>
      </c>
      <c r="M58" s="256">
        <v>24</v>
      </c>
      <c r="N58" s="259">
        <v>46240.42</v>
      </c>
      <c r="O58" s="259">
        <v>45267.663999999997</v>
      </c>
      <c r="P58" s="249">
        <v>5.92747427467138</v>
      </c>
      <c r="Q58" s="249">
        <v>13.5074962554406</v>
      </c>
      <c r="R58" s="249">
        <v>33.8047016008938</v>
      </c>
      <c r="S58" s="249">
        <v>51.3171658042899</v>
      </c>
      <c r="T58" s="249">
        <v>12.655246210999</v>
      </c>
      <c r="U58" s="249">
        <v>20.2972053454532</v>
      </c>
      <c r="V58" s="249">
        <v>66.195298399106306</v>
      </c>
      <c r="W58" s="249">
        <v>17.5124642033961</v>
      </c>
      <c r="X58" s="249">
        <v>51.327613373753998</v>
      </c>
      <c r="Y58" s="249">
        <v>59.0483001668238</v>
      </c>
      <c r="Z58" s="249">
        <v>61.677995139317503</v>
      </c>
      <c r="AA58" s="249">
        <v>33.815149170357898</v>
      </c>
      <c r="AB58" s="249">
        <v>44.165530935921403</v>
      </c>
      <c r="AC58" s="249">
        <v>46.2326055861949</v>
      </c>
      <c r="AD58" s="249">
        <v>14.8676850253523</v>
      </c>
      <c r="AE58" s="249">
        <v>4.5173032597887302</v>
      </c>
      <c r="AF58" s="249">
        <v>5.6853364467846204</v>
      </c>
      <c r="AG58" s="249">
        <v>12.9676494903735</v>
      </c>
      <c r="AH58" s="249">
        <v>32.502010706803901</v>
      </c>
      <c r="AI58" s="249">
        <v>49.613529869798398</v>
      </c>
      <c r="AJ58" s="249">
        <v>12.1710786754978</v>
      </c>
      <c r="AK58" s="249">
        <v>19.534361216430302</v>
      </c>
      <c r="AL58" s="249">
        <v>67.497989293196099</v>
      </c>
      <c r="AM58" s="249">
        <v>17.1115191629946</v>
      </c>
      <c r="AN58" s="249">
        <v>51.0077104928586</v>
      </c>
      <c r="AO58" s="249">
        <v>58.809942125575503</v>
      </c>
      <c r="AP58" s="249">
        <v>61.559664311372501</v>
      </c>
      <c r="AQ58" s="249">
        <v>33.896191329864102</v>
      </c>
      <c r="AR58" s="249">
        <v>44.448145148377897</v>
      </c>
      <c r="AS58" s="249">
        <v>16.490278800337499</v>
      </c>
      <c r="AT58" s="249">
        <v>5.9383249818236701</v>
      </c>
    </row>
    <row r="59" spans="1:46" x14ac:dyDescent="0.4">
      <c r="A59" s="245" t="s">
        <v>380</v>
      </c>
      <c r="B59" s="260">
        <v>222</v>
      </c>
      <c r="C59" s="242" t="s">
        <v>381</v>
      </c>
      <c r="D59" s="242" t="s">
        <v>374</v>
      </c>
      <c r="E59" s="242" t="s">
        <v>375</v>
      </c>
      <c r="F59" s="245">
        <v>1.3988592400000002</v>
      </c>
      <c r="G59" s="246" t="e">
        <f t="shared" si="2"/>
        <v>#N/A</v>
      </c>
      <c r="H59" s="246" t="e">
        <f t="shared" si="1"/>
        <v>#N/A</v>
      </c>
      <c r="I59" s="245">
        <v>0.28999999999999998</v>
      </c>
      <c r="J59" s="245">
        <v>17.475999999999999</v>
      </c>
      <c r="K59" s="245">
        <v>54</v>
      </c>
      <c r="L59" s="245">
        <v>8.3000000000000007</v>
      </c>
      <c r="M59" s="245">
        <v>16.8</v>
      </c>
      <c r="N59" s="246">
        <v>2875.241</v>
      </c>
      <c r="O59" s="246">
        <v>3251.3420000000001</v>
      </c>
      <c r="P59" s="241">
        <v>3.6828217182490102</v>
      </c>
      <c r="Q59" s="241">
        <v>9.2491725041483495</v>
      </c>
      <c r="R59" s="241">
        <v>29.4161428555032</v>
      </c>
      <c r="S59" s="241">
        <v>50.713905373497397</v>
      </c>
      <c r="T59" s="241">
        <v>11.726182257417699</v>
      </c>
      <c r="U59" s="241">
        <v>20.166970351354902</v>
      </c>
      <c r="V59" s="241">
        <v>70.583857144496804</v>
      </c>
      <c r="W59" s="241">
        <v>21.297762517994101</v>
      </c>
      <c r="X59" s="241">
        <v>52.287477814903198</v>
      </c>
      <c r="Y59" s="241">
        <v>60.069155942058401</v>
      </c>
      <c r="Z59" s="241">
        <v>63.073877981011002</v>
      </c>
      <c r="AA59" s="241">
        <v>30.989715296909001</v>
      </c>
      <c r="AB59" s="241">
        <v>41.776115463016801</v>
      </c>
      <c r="AC59" s="241">
        <v>44.140647688315497</v>
      </c>
      <c r="AD59" s="241">
        <v>18.296379329593599</v>
      </c>
      <c r="AE59" s="241">
        <v>7.5099791634857702</v>
      </c>
      <c r="AF59" s="241">
        <v>3.1038568074352102</v>
      </c>
      <c r="AG59" s="241">
        <v>7.8105594551419104</v>
      </c>
      <c r="AH59" s="241">
        <v>24.917249554184099</v>
      </c>
      <c r="AI59" s="241">
        <v>44.253265267080501</v>
      </c>
      <c r="AJ59" s="241">
        <v>9.9133834582766092</v>
      </c>
      <c r="AK59" s="241">
        <v>17.106690099042201</v>
      </c>
      <c r="AL59" s="241">
        <v>75.082750445815904</v>
      </c>
      <c r="AM59" s="241">
        <v>19.336015712896401</v>
      </c>
      <c r="AN59" s="241">
        <v>53.636990510380002</v>
      </c>
      <c r="AO59" s="241">
        <v>62.764852174886499</v>
      </c>
      <c r="AP59" s="241">
        <v>66.325689515283202</v>
      </c>
      <c r="AQ59" s="241">
        <v>34.300974797483597</v>
      </c>
      <c r="AR59" s="241">
        <v>46.989673802386797</v>
      </c>
      <c r="AS59" s="241">
        <v>21.445759935435898</v>
      </c>
      <c r="AT59" s="241">
        <v>8.7570609305326794</v>
      </c>
    </row>
    <row r="60" spans="1:46" x14ac:dyDescent="0.4">
      <c r="A60" s="247" t="s">
        <v>382</v>
      </c>
      <c r="B60" s="248">
        <v>226</v>
      </c>
      <c r="C60" s="249" t="s">
        <v>383</v>
      </c>
      <c r="D60" s="249" t="s">
        <v>297</v>
      </c>
      <c r="E60" s="249" t="s">
        <v>298</v>
      </c>
      <c r="F60" s="247">
        <v>1</v>
      </c>
      <c r="G60" s="250" t="e">
        <f t="shared" si="2"/>
        <v>#N/A</v>
      </c>
      <c r="H60" s="250" t="e">
        <f t="shared" si="1"/>
        <v>#N/A</v>
      </c>
      <c r="I60" s="247">
        <v>2.9630000000000001</v>
      </c>
      <c r="J60" s="247">
        <v>35.362000000000002</v>
      </c>
      <c r="K60" s="247">
        <v>342</v>
      </c>
      <c r="L60" s="247">
        <v>33.1</v>
      </c>
      <c r="M60" s="247">
        <v>94.1</v>
      </c>
      <c r="N60" s="250">
        <v>433.10599999999999</v>
      </c>
      <c r="O60" s="250">
        <v>411.95400000000001</v>
      </c>
      <c r="P60" s="249">
        <v>6.2345014846250102</v>
      </c>
      <c r="Q60" s="249">
        <v>14.9379135823563</v>
      </c>
      <c r="R60" s="249">
        <v>38.601635627306003</v>
      </c>
      <c r="S60" s="249">
        <v>57.2598855707379</v>
      </c>
      <c r="T60" s="249">
        <v>15.0842980702184</v>
      </c>
      <c r="U60" s="249">
        <v>23.663722044949701</v>
      </c>
      <c r="V60" s="249">
        <v>61.398364372693997</v>
      </c>
      <c r="W60" s="249">
        <v>18.658249943431901</v>
      </c>
      <c r="X60" s="249">
        <v>47.403868798862199</v>
      </c>
      <c r="Y60" s="249">
        <v>56.072878233042303</v>
      </c>
      <c r="Z60" s="249">
        <v>58.461439001075902</v>
      </c>
      <c r="AA60" s="249">
        <v>28.745618855430301</v>
      </c>
      <c r="AB60" s="249">
        <v>39.803189057644097</v>
      </c>
      <c r="AC60" s="249">
        <v>41.034065563626498</v>
      </c>
      <c r="AD60" s="249">
        <v>13.9944955738318</v>
      </c>
      <c r="AE60" s="249">
        <v>2.9369253716180301</v>
      </c>
      <c r="AF60" s="249">
        <v>6.4266884166678802</v>
      </c>
      <c r="AG60" s="249">
        <v>15.419440034567</v>
      </c>
      <c r="AH60" s="249">
        <v>39.953975443860202</v>
      </c>
      <c r="AI60" s="249">
        <v>59.2867164780534</v>
      </c>
      <c r="AJ60" s="249">
        <v>15.6291721891279</v>
      </c>
      <c r="AK60" s="249">
        <v>24.534535409293301</v>
      </c>
      <c r="AL60" s="249">
        <v>60.046024556139798</v>
      </c>
      <c r="AM60" s="249">
        <v>19.332741034193099</v>
      </c>
      <c r="AN60" s="249">
        <v>47.167887676779401</v>
      </c>
      <c r="AO60" s="249">
        <v>55.168780980400697</v>
      </c>
      <c r="AP60" s="249">
        <v>57.213669487369899</v>
      </c>
      <c r="AQ60" s="249">
        <v>27.835146642586299</v>
      </c>
      <c r="AR60" s="249">
        <v>37.8809284531768</v>
      </c>
      <c r="AS60" s="249">
        <v>12.8781368793603</v>
      </c>
      <c r="AT60" s="249">
        <v>2.83235506876981</v>
      </c>
    </row>
    <row r="61" spans="1:46" x14ac:dyDescent="0.4">
      <c r="A61" s="251" t="s">
        <v>384</v>
      </c>
      <c r="B61" s="252">
        <v>232</v>
      </c>
      <c r="C61" s="253" t="s">
        <v>385</v>
      </c>
      <c r="D61" s="253" t="s">
        <v>386</v>
      </c>
      <c r="E61" s="253" t="s">
        <v>387</v>
      </c>
      <c r="F61" s="251">
        <v>1</v>
      </c>
      <c r="G61" s="254" t="e">
        <f t="shared" si="2"/>
        <v>#N/A</v>
      </c>
      <c r="H61" s="254" t="e">
        <f t="shared" si="1"/>
        <v>#N/A</v>
      </c>
      <c r="I61" s="251">
        <v>2.173</v>
      </c>
      <c r="J61" s="251">
        <v>34.799999999999997</v>
      </c>
      <c r="K61" s="251">
        <v>501</v>
      </c>
      <c r="L61" s="251">
        <v>18.399999999999999</v>
      </c>
      <c r="M61" s="251">
        <v>46.5</v>
      </c>
      <c r="N61" s="254">
        <v>2618.8429999999998</v>
      </c>
      <c r="O61" s="254">
        <v>2608.9479999999999</v>
      </c>
      <c r="P61" s="241">
        <v>6.34597033880992</v>
      </c>
      <c r="Q61" s="241">
        <v>15.900151326368199</v>
      </c>
      <c r="R61" s="241">
        <v>43.617582268200103</v>
      </c>
      <c r="S61" s="241">
        <v>62.938939065839399</v>
      </c>
      <c r="T61" s="241">
        <v>17.7311125561937</v>
      </c>
      <c r="U61" s="241">
        <v>27.7174309418319</v>
      </c>
      <c r="V61" s="241">
        <v>56.382417731799897</v>
      </c>
      <c r="W61" s="241">
        <v>19.3213567976393</v>
      </c>
      <c r="X61" s="241">
        <v>48.584203024007202</v>
      </c>
      <c r="Y61" s="241">
        <v>52.828481890667</v>
      </c>
      <c r="Z61" s="241">
        <v>54.256784389136698</v>
      </c>
      <c r="AA61" s="241">
        <v>29.262846226367898</v>
      </c>
      <c r="AB61" s="241">
        <v>34.935427591497501</v>
      </c>
      <c r="AC61" s="241">
        <v>36.037555515928197</v>
      </c>
      <c r="AD61" s="241">
        <v>7.7982147077927202</v>
      </c>
      <c r="AE61" s="241">
        <v>2.12563334266315</v>
      </c>
      <c r="AF61" s="241">
        <v>6.09226400832826</v>
      </c>
      <c r="AG61" s="241">
        <v>15.2688363278992</v>
      </c>
      <c r="AH61" s="241">
        <v>41.949667068872202</v>
      </c>
      <c r="AI61" s="241">
        <v>60.908918077324699</v>
      </c>
      <c r="AJ61" s="241">
        <v>17.0472159659756</v>
      </c>
      <c r="AK61" s="241">
        <v>26.680830740973001</v>
      </c>
      <c r="AL61" s="241">
        <v>58.050332931127798</v>
      </c>
      <c r="AM61" s="241">
        <v>18.959251008452501</v>
      </c>
      <c r="AN61" s="241">
        <v>48.654630142110904</v>
      </c>
      <c r="AO61" s="241">
        <v>53.243261268526602</v>
      </c>
      <c r="AP61" s="241">
        <v>54.911289914555603</v>
      </c>
      <c r="AQ61" s="241">
        <v>29.695379133658498</v>
      </c>
      <c r="AR61" s="241">
        <v>35.952038906103098</v>
      </c>
      <c r="AS61" s="241">
        <v>9.3957027890168696</v>
      </c>
      <c r="AT61" s="241">
        <v>3.1390430165722001</v>
      </c>
    </row>
    <row r="62" spans="1:46" x14ac:dyDescent="0.4">
      <c r="A62" s="247" t="s">
        <v>388</v>
      </c>
      <c r="B62" s="248">
        <v>233</v>
      </c>
      <c r="C62" s="249" t="s">
        <v>389</v>
      </c>
      <c r="D62" s="249" t="s">
        <v>390</v>
      </c>
      <c r="E62" s="249" t="s">
        <v>391</v>
      </c>
      <c r="F62" s="247">
        <v>1</v>
      </c>
      <c r="G62" s="250" t="e">
        <f t="shared" si="2"/>
        <v>#N/A</v>
      </c>
      <c r="H62" s="250" t="e">
        <f t="shared" si="1"/>
        <v>#N/A</v>
      </c>
      <c r="I62" s="247">
        <v>-0.29499999999999998</v>
      </c>
      <c r="J62" s="247">
        <v>10.3</v>
      </c>
      <c r="K62" s="247">
        <v>9</v>
      </c>
      <c r="L62" s="247">
        <v>1.5</v>
      </c>
      <c r="M62" s="247">
        <v>2.9</v>
      </c>
      <c r="N62" s="250">
        <v>614.31799999999998</v>
      </c>
      <c r="O62" s="250">
        <v>698.24</v>
      </c>
      <c r="P62" s="249">
        <v>2.1272370335884698</v>
      </c>
      <c r="Q62" s="249">
        <v>5.9938012560270097</v>
      </c>
      <c r="R62" s="249">
        <v>17.664141373034798</v>
      </c>
      <c r="S62" s="249">
        <v>29.030730012794699</v>
      </c>
      <c r="T62" s="249">
        <v>7.6234132810694204</v>
      </c>
      <c r="U62" s="249">
        <v>11.6703401170078</v>
      </c>
      <c r="V62" s="249">
        <v>82.335858626965205</v>
      </c>
      <c r="W62" s="249">
        <v>11.3665886397599</v>
      </c>
      <c r="X62" s="249">
        <v>48.999540954359098</v>
      </c>
      <c r="Y62" s="249">
        <v>62.885346025999603</v>
      </c>
      <c r="Z62" s="249">
        <v>68.8426840821855</v>
      </c>
      <c r="AA62" s="249">
        <v>37.632952314599301</v>
      </c>
      <c r="AB62" s="249">
        <v>57.476095442425603</v>
      </c>
      <c r="AC62" s="249">
        <v>61.797310187883099</v>
      </c>
      <c r="AD62" s="249">
        <v>33.336317672606</v>
      </c>
      <c r="AE62" s="249">
        <v>13.4931745447797</v>
      </c>
      <c r="AF62" s="249">
        <v>1.8228689275893699</v>
      </c>
      <c r="AG62" s="249">
        <v>5.0330831805682896</v>
      </c>
      <c r="AH62" s="249">
        <v>14.700962419798399</v>
      </c>
      <c r="AI62" s="249">
        <v>24.076392071493999</v>
      </c>
      <c r="AJ62" s="249">
        <v>6.2806484876260296</v>
      </c>
      <c r="AK62" s="249">
        <v>9.6678792392300608</v>
      </c>
      <c r="AL62" s="249">
        <v>85.299037580201599</v>
      </c>
      <c r="AM62" s="249">
        <v>9.3754296516956899</v>
      </c>
      <c r="AN62" s="249">
        <v>41.306427589367601</v>
      </c>
      <c r="AO62" s="249">
        <v>55.005728689275898</v>
      </c>
      <c r="AP62" s="249">
        <v>61.905791704857897</v>
      </c>
      <c r="AQ62" s="249">
        <v>31.930997937671901</v>
      </c>
      <c r="AR62" s="249">
        <v>52.5303620531622</v>
      </c>
      <c r="AS62" s="249">
        <v>43.992609990834097</v>
      </c>
      <c r="AT62" s="249">
        <v>23.393245875343698</v>
      </c>
    </row>
    <row r="63" spans="1:46" x14ac:dyDescent="0.4">
      <c r="A63" s="251" t="s">
        <v>392</v>
      </c>
      <c r="B63" s="252">
        <v>231</v>
      </c>
      <c r="C63" s="253" t="s">
        <v>393</v>
      </c>
      <c r="D63" s="253" t="s">
        <v>394</v>
      </c>
      <c r="E63" s="253" t="s">
        <v>395</v>
      </c>
      <c r="F63" s="251">
        <v>1</v>
      </c>
      <c r="G63" s="254" t="e">
        <f t="shared" si="2"/>
        <v>#N/A</v>
      </c>
      <c r="H63" s="254" t="e">
        <f t="shared" si="1"/>
        <v>#N/A</v>
      </c>
      <c r="I63" s="251">
        <v>2.5339999999999998</v>
      </c>
      <c r="J63" s="251">
        <v>32.924999999999997</v>
      </c>
      <c r="K63" s="251">
        <v>353</v>
      </c>
      <c r="L63" s="251">
        <v>27.7</v>
      </c>
      <c r="M63" s="251">
        <v>59.2</v>
      </c>
      <c r="N63" s="254">
        <v>49607.610999999997</v>
      </c>
      <c r="O63" s="254">
        <v>49783.139000000003</v>
      </c>
      <c r="P63" s="241">
        <v>6.1558054065534398</v>
      </c>
      <c r="Q63" s="241">
        <v>14.9183700863966</v>
      </c>
      <c r="R63" s="241">
        <v>41.994685049437301</v>
      </c>
      <c r="S63" s="241">
        <v>63.809621874353098</v>
      </c>
      <c r="T63" s="241">
        <v>16.574089810533302</v>
      </c>
      <c r="U63" s="241">
        <v>27.076314963040598</v>
      </c>
      <c r="V63" s="241">
        <v>58.005314950562699</v>
      </c>
      <c r="W63" s="241">
        <v>21.814936824915801</v>
      </c>
      <c r="X63" s="241">
        <v>48.567539364070598</v>
      </c>
      <c r="Y63" s="241">
        <v>53.100426464801899</v>
      </c>
      <c r="Z63" s="241">
        <v>54.768616049662199</v>
      </c>
      <c r="AA63" s="241">
        <v>26.752602539154701</v>
      </c>
      <c r="AB63" s="241">
        <v>32.953679224746402</v>
      </c>
      <c r="AC63" s="241">
        <v>34.268634706073598</v>
      </c>
      <c r="AD63" s="241">
        <v>9.43777558649216</v>
      </c>
      <c r="AE63" s="241">
        <v>3.2366989009005098</v>
      </c>
      <c r="AF63" s="241">
        <v>5.9601283880472096</v>
      </c>
      <c r="AG63" s="241">
        <v>14.4648170939964</v>
      </c>
      <c r="AH63" s="241">
        <v>40.887725058879901</v>
      </c>
      <c r="AI63" s="241">
        <v>62.245691257033798</v>
      </c>
      <c r="AJ63" s="241">
        <v>16.154640228692699</v>
      </c>
      <c r="AK63" s="241">
        <v>26.4229079648835</v>
      </c>
      <c r="AL63" s="241">
        <v>59.112274941120099</v>
      </c>
      <c r="AM63" s="241">
        <v>21.357966198153999</v>
      </c>
      <c r="AN63" s="241">
        <v>48.416312197589598</v>
      </c>
      <c r="AO63" s="241">
        <v>53.5448799241044</v>
      </c>
      <c r="AP63" s="241">
        <v>55.382064196474303</v>
      </c>
      <c r="AQ63" s="241">
        <v>27.058345999435701</v>
      </c>
      <c r="AR63" s="241">
        <v>34.0240979983203</v>
      </c>
      <c r="AS63" s="241">
        <v>10.695962743530499</v>
      </c>
      <c r="AT63" s="241">
        <v>3.7302107446458899</v>
      </c>
    </row>
    <row r="64" spans="1:46" x14ac:dyDescent="0.4">
      <c r="A64" s="247" t="s">
        <v>396</v>
      </c>
      <c r="B64" s="248">
        <v>0</v>
      </c>
      <c r="C64" s="249" t="s">
        <v>66</v>
      </c>
      <c r="D64" s="249" t="s">
        <v>397</v>
      </c>
      <c r="E64" s="249" t="s">
        <v>398</v>
      </c>
      <c r="F64" s="251">
        <v>1</v>
      </c>
      <c r="G64" s="254" t="e">
        <f t="shared" si="2"/>
        <v>#N/A</v>
      </c>
      <c r="H64" s="254" t="e">
        <f t="shared" si="1"/>
        <v>#N/A</v>
      </c>
      <c r="I64" s="251">
        <v>2.4060000000000001</v>
      </c>
      <c r="J64" s="251">
        <v>32.689</v>
      </c>
      <c r="K64" s="251">
        <v>290</v>
      </c>
      <c r="L64" s="251">
        <v>18.7</v>
      </c>
      <c r="M64" s="251">
        <v>41.7</v>
      </c>
      <c r="N64" s="254">
        <v>5559.5659999999998</v>
      </c>
      <c r="O64" s="254">
        <v>6050.1</v>
      </c>
      <c r="P64" s="241">
        <v>6.01588325419646</v>
      </c>
      <c r="Q64" s="241">
        <v>15.2977408668231</v>
      </c>
      <c r="R64" s="241">
        <v>42.850772884070402</v>
      </c>
      <c r="S64" s="241">
        <v>62.713690241288603</v>
      </c>
      <c r="T64" s="241">
        <v>17.506690270427601</v>
      </c>
      <c r="U64" s="241">
        <v>27.5530320172474</v>
      </c>
      <c r="V64" s="241">
        <v>57.149227115929499</v>
      </c>
      <c r="W64" s="241">
        <v>19.862917357218201</v>
      </c>
      <c r="X64" s="241">
        <v>48.6789256571466</v>
      </c>
      <c r="Y64" s="241">
        <v>53.361665281066898</v>
      </c>
      <c r="Z64" s="241">
        <v>54.836474645682799</v>
      </c>
      <c r="AA64" s="241">
        <v>28.816008299928399</v>
      </c>
      <c r="AB64" s="241">
        <v>34.973557288464598</v>
      </c>
      <c r="AC64" s="241">
        <v>35.917569824694901</v>
      </c>
      <c r="AD64" s="241">
        <v>8.4703014587829308</v>
      </c>
      <c r="AE64" s="241">
        <v>2.3127524702467799</v>
      </c>
      <c r="AF64" s="241">
        <v>5.4686699393398497</v>
      </c>
      <c r="AG64" s="241">
        <v>13.956678402009899</v>
      </c>
      <c r="AH64" s="241">
        <v>39.399100841308403</v>
      </c>
      <c r="AI64" s="241">
        <v>58.166922860779202</v>
      </c>
      <c r="AJ64" s="241">
        <v>16.1318325316937</v>
      </c>
      <c r="AK64" s="241">
        <v>25.4424224392985</v>
      </c>
      <c r="AL64" s="241">
        <v>60.600899158691597</v>
      </c>
      <c r="AM64" s="241">
        <v>18.767822019470799</v>
      </c>
      <c r="AN64" s="241">
        <v>49.292805077601997</v>
      </c>
      <c r="AO64" s="241">
        <v>55.367332771359202</v>
      </c>
      <c r="AP64" s="241">
        <v>57.3726219401332</v>
      </c>
      <c r="AQ64" s="241">
        <v>30.524983058131301</v>
      </c>
      <c r="AR64" s="241">
        <v>38.604799920662501</v>
      </c>
      <c r="AS64" s="241">
        <v>11.3080940810896</v>
      </c>
    </row>
    <row r="65" spans="1:46" x14ac:dyDescent="0.4">
      <c r="A65" s="251" t="s">
        <v>399</v>
      </c>
      <c r="B65" s="252">
        <v>242</v>
      </c>
      <c r="C65" s="253" t="s">
        <v>400</v>
      </c>
      <c r="D65" s="253" t="s">
        <v>401</v>
      </c>
      <c r="E65" s="253" t="s">
        <v>402</v>
      </c>
      <c r="F65" s="251">
        <v>1</v>
      </c>
      <c r="G65" s="254" t="e">
        <f t="shared" si="2"/>
        <v>#N/A</v>
      </c>
      <c r="H65" s="254" t="e">
        <f t="shared" si="1"/>
        <v>#N/A</v>
      </c>
      <c r="I65" s="251">
        <v>0.73499999999999999</v>
      </c>
      <c r="J65" s="251">
        <v>20.463000000000001</v>
      </c>
      <c r="K65" s="251">
        <v>30</v>
      </c>
      <c r="L65" s="251">
        <v>9.6</v>
      </c>
      <c r="M65" s="251">
        <v>22.4</v>
      </c>
      <c r="N65" s="254">
        <v>453.62700000000001</v>
      </c>
      <c r="O65" s="254">
        <v>438.51799999999997</v>
      </c>
      <c r="P65" s="241">
        <v>3.8805009401997701</v>
      </c>
      <c r="Q65" s="241">
        <v>9.9771398086974497</v>
      </c>
      <c r="R65" s="241">
        <v>29.156774177903898</v>
      </c>
      <c r="S65" s="241">
        <v>46.555209456227203</v>
      </c>
      <c r="T65" s="241">
        <v>11.9128711474405</v>
      </c>
      <c r="U65" s="241">
        <v>19.179634369206401</v>
      </c>
      <c r="V65" s="241">
        <v>70.843225822096102</v>
      </c>
      <c r="W65" s="241">
        <v>17.398435278323401</v>
      </c>
      <c r="X65" s="241">
        <v>52.091696481911299</v>
      </c>
      <c r="Y65" s="241">
        <v>62.3108853749887</v>
      </c>
      <c r="Z65" s="241">
        <v>65.622857545957402</v>
      </c>
      <c r="AA65" s="241">
        <v>34.693261203588001</v>
      </c>
      <c r="AB65" s="241">
        <v>48.224422267633997</v>
      </c>
      <c r="AC65" s="241">
        <v>50.625954804277498</v>
      </c>
      <c r="AD65" s="241">
        <v>18.751529340184799</v>
      </c>
      <c r="AE65" s="241">
        <v>5.2203682761387604</v>
      </c>
      <c r="AF65" s="241">
        <v>3.8012122649469302</v>
      </c>
      <c r="AG65" s="241">
        <v>9.7649355328629603</v>
      </c>
      <c r="AH65" s="241">
        <v>28.318335849383601</v>
      </c>
      <c r="AI65" s="241">
        <v>45.2708896784168</v>
      </c>
      <c r="AJ65" s="241">
        <v>11.559844749816399</v>
      </c>
      <c r="AK65" s="241">
        <v>18.553400316520602</v>
      </c>
      <c r="AL65" s="241">
        <v>71.681664150616399</v>
      </c>
      <c r="AM65" s="241">
        <v>16.952553829033199</v>
      </c>
      <c r="AN65" s="241">
        <v>51.1534304179076</v>
      </c>
      <c r="AO65" s="241">
        <v>61.682074624074701</v>
      </c>
      <c r="AP65" s="241">
        <v>65.218987590019097</v>
      </c>
      <c r="AQ65" s="241">
        <v>34.200876588874301</v>
      </c>
      <c r="AR65" s="241">
        <v>48.266433760985898</v>
      </c>
      <c r="AS65" s="241">
        <v>20.528233732708799</v>
      </c>
      <c r="AT65" s="249">
        <v>6.4626765605972798</v>
      </c>
    </row>
    <row r="66" spans="1:46" x14ac:dyDescent="0.4">
      <c r="A66" s="247" t="s">
        <v>403</v>
      </c>
      <c r="B66" s="248">
        <v>246</v>
      </c>
      <c r="C66" s="249" t="s">
        <v>404</v>
      </c>
      <c r="D66" s="249" t="s">
        <v>196</v>
      </c>
      <c r="E66" s="249" t="s">
        <v>197</v>
      </c>
      <c r="F66" s="247">
        <v>1.2617355060728741</v>
      </c>
      <c r="G66" s="250" t="e">
        <f t="shared" si="2"/>
        <v>#N/A</v>
      </c>
      <c r="H66" s="250" t="e">
        <f t="shared" si="1"/>
        <v>#N/A</v>
      </c>
      <c r="I66" s="247">
        <v>0.5</v>
      </c>
      <c r="J66" s="247">
        <v>10.7</v>
      </c>
      <c r="K66" s="247">
        <v>3</v>
      </c>
      <c r="L66" s="247">
        <v>1.3</v>
      </c>
      <c r="M66" s="247">
        <v>2.2999999999999998</v>
      </c>
      <c r="N66" s="250">
        <v>2709.0390000000002</v>
      </c>
      <c r="O66" s="250">
        <v>2794.4180000000001</v>
      </c>
      <c r="P66" s="249">
        <v>2.2307172395820101</v>
      </c>
      <c r="Q66" s="249">
        <v>5.7573183700935999</v>
      </c>
      <c r="R66" s="249">
        <v>16.981593841949099</v>
      </c>
      <c r="S66" s="249">
        <v>29.2887625464233</v>
      </c>
      <c r="T66" s="249">
        <v>6.8979073390970003</v>
      </c>
      <c r="U66" s="249">
        <v>11.224275471855499</v>
      </c>
      <c r="V66" s="249">
        <v>83.018406158050894</v>
      </c>
      <c r="W66" s="249">
        <v>12.307168704474201</v>
      </c>
      <c r="X66" s="249">
        <v>44.655687865696997</v>
      </c>
      <c r="Y66" s="249">
        <v>58.3220470432504</v>
      </c>
      <c r="Z66" s="249">
        <v>64.991718465478002</v>
      </c>
      <c r="AA66" s="249">
        <v>32.348519161222903</v>
      </c>
      <c r="AB66" s="249">
        <v>52.684549761003801</v>
      </c>
      <c r="AC66" s="249">
        <v>59.936678652466803</v>
      </c>
      <c r="AD66" s="249">
        <v>38.362718292353897</v>
      </c>
      <c r="AE66" s="249">
        <v>18.026687692572899</v>
      </c>
      <c r="AF66" s="249">
        <v>2.04675893155569</v>
      </c>
      <c r="AG66" s="249">
        <v>5.3134140991075798</v>
      </c>
      <c r="AH66" s="249">
        <v>15.7147212764876</v>
      </c>
      <c r="AI66" s="249">
        <v>27.146833437230899</v>
      </c>
      <c r="AJ66" s="249">
        <v>6.4015834424198497</v>
      </c>
      <c r="AK66" s="249">
        <v>10.401307177380099</v>
      </c>
      <c r="AL66" s="249">
        <v>84.285278723512405</v>
      </c>
      <c r="AM66" s="249">
        <v>11.4321121607433</v>
      </c>
      <c r="AN66" s="249">
        <v>41.3296078110004</v>
      </c>
      <c r="AO66" s="249">
        <v>54.702875518265301</v>
      </c>
      <c r="AP66" s="249">
        <v>61.432470017012498</v>
      </c>
      <c r="AQ66" s="249">
        <v>29.897495650257099</v>
      </c>
      <c r="AR66" s="249">
        <v>50.000357856269197</v>
      </c>
      <c r="AS66" s="249">
        <v>42.955670912511998</v>
      </c>
      <c r="AT66" s="241">
        <v>22.8528087064999</v>
      </c>
    </row>
    <row r="67" spans="1:46" x14ac:dyDescent="0.4">
      <c r="A67" s="251" t="s">
        <v>405</v>
      </c>
      <c r="B67" s="252">
        <v>250</v>
      </c>
      <c r="C67" s="253" t="s">
        <v>406</v>
      </c>
      <c r="D67" s="253" t="s">
        <v>196</v>
      </c>
      <c r="E67" s="253" t="s">
        <v>197</v>
      </c>
      <c r="F67" s="251">
        <v>1.2617355060728741</v>
      </c>
      <c r="G67" s="254" t="e">
        <f t="shared" si="2"/>
        <v>#N/A</v>
      </c>
      <c r="H67" s="254" t="e">
        <f t="shared" si="1"/>
        <v>#N/A</v>
      </c>
      <c r="I67" s="251">
        <v>0.45</v>
      </c>
      <c r="J67" s="251">
        <v>12.3</v>
      </c>
      <c r="K67" s="251">
        <v>8</v>
      </c>
      <c r="L67" s="251">
        <v>2.2000000000000002</v>
      </c>
      <c r="M67" s="251">
        <v>4.3</v>
      </c>
      <c r="N67" s="254">
        <v>31341.652999999998</v>
      </c>
      <c r="O67" s="254">
        <v>33053.692000000003</v>
      </c>
      <c r="P67" s="241">
        <v>2.5655730410900799</v>
      </c>
      <c r="Q67" s="241">
        <v>6.4211131429475001</v>
      </c>
      <c r="R67" s="241">
        <v>19.417871801465001</v>
      </c>
      <c r="S67" s="241">
        <v>31.479513859718899</v>
      </c>
      <c r="T67" s="241">
        <v>7.8013562335081703</v>
      </c>
      <c r="U67" s="241">
        <v>12.9967586585175</v>
      </c>
      <c r="V67" s="241">
        <v>80.582128198535003</v>
      </c>
      <c r="W67" s="241">
        <v>12.0616420582539</v>
      </c>
      <c r="X67" s="241">
        <v>44.348994611101098</v>
      </c>
      <c r="Y67" s="241">
        <v>57.4166748639582</v>
      </c>
      <c r="Z67" s="241">
        <v>63.466930094593302</v>
      </c>
      <c r="AA67" s="241">
        <v>32.287352552847203</v>
      </c>
      <c r="AB67" s="241">
        <v>51.4052880363394</v>
      </c>
      <c r="AC67" s="241">
        <v>57.214844411684297</v>
      </c>
      <c r="AD67" s="241">
        <v>36.233133587433898</v>
      </c>
      <c r="AE67" s="241">
        <v>17.115198103941701</v>
      </c>
      <c r="AF67" s="241">
        <v>2.3033705281697401</v>
      </c>
      <c r="AG67" s="241">
        <v>5.7919006445634</v>
      </c>
      <c r="AH67" s="241">
        <v>17.597589400905701</v>
      </c>
      <c r="AI67" s="241">
        <v>28.7169039997105</v>
      </c>
      <c r="AJ67" s="241">
        <v>7.0908901795297199</v>
      </c>
      <c r="AK67" s="241">
        <v>11.805688756342301</v>
      </c>
      <c r="AL67" s="241">
        <v>82.402410599094395</v>
      </c>
      <c r="AM67" s="241">
        <v>11.1193145988049</v>
      </c>
      <c r="AN67" s="241">
        <v>42.236927723535402</v>
      </c>
      <c r="AO67" s="241">
        <v>55.208105043152202</v>
      </c>
      <c r="AP67" s="241">
        <v>61.3804533544997</v>
      </c>
      <c r="AQ67" s="241">
        <v>31.1176131247305</v>
      </c>
      <c r="AR67" s="241">
        <v>50.261138755694802</v>
      </c>
      <c r="AS67" s="241">
        <v>40.165482875559</v>
      </c>
      <c r="AT67" s="249">
        <v>21.021957244594599</v>
      </c>
    </row>
    <row r="68" spans="1:46" x14ac:dyDescent="0.4">
      <c r="A68" s="247" t="s">
        <v>407</v>
      </c>
      <c r="B68" s="248">
        <v>266</v>
      </c>
      <c r="C68" s="249" t="s">
        <v>408</v>
      </c>
      <c r="D68" s="249" t="s">
        <v>297</v>
      </c>
      <c r="E68" s="249" t="s">
        <v>298</v>
      </c>
      <c r="F68" s="247">
        <v>1</v>
      </c>
      <c r="G68" s="250" t="e">
        <f t="shared" si="2"/>
        <v>#N/A</v>
      </c>
      <c r="H68" s="250" t="e">
        <f t="shared" si="1"/>
        <v>#N/A</v>
      </c>
      <c r="I68" s="247">
        <v>2.2469999999999999</v>
      </c>
      <c r="J68" s="247">
        <v>30.555</v>
      </c>
      <c r="K68" s="247">
        <v>291</v>
      </c>
      <c r="L68" s="247">
        <v>23.2</v>
      </c>
      <c r="M68" s="247">
        <v>50.8</v>
      </c>
      <c r="N68" s="250">
        <v>872.43200000000002</v>
      </c>
      <c r="O68" s="250">
        <v>852.86</v>
      </c>
      <c r="P68" s="249">
        <v>5.7329396445797496</v>
      </c>
      <c r="Q68" s="249">
        <v>13.850248500742699</v>
      </c>
      <c r="R68" s="249">
        <v>37.066384543437202</v>
      </c>
      <c r="S68" s="249">
        <v>56.65679388193</v>
      </c>
      <c r="T68" s="249">
        <v>14.549558017129099</v>
      </c>
      <c r="U68" s="249">
        <v>23.216136042694401</v>
      </c>
      <c r="V68" s="249">
        <v>62.933615456562798</v>
      </c>
      <c r="W68" s="249">
        <v>19.590409338492901</v>
      </c>
      <c r="X68" s="249">
        <v>50.4379710968878</v>
      </c>
      <c r="Y68" s="249">
        <v>56.2903469840629</v>
      </c>
      <c r="Z68" s="249">
        <v>58.385753846718103</v>
      </c>
      <c r="AA68" s="249">
        <v>30.8475617583949</v>
      </c>
      <c r="AB68" s="249">
        <v>38.795344508225298</v>
      </c>
      <c r="AC68" s="249">
        <v>40.4738707429347</v>
      </c>
      <c r="AD68" s="249">
        <v>12.495644359675</v>
      </c>
      <c r="AE68" s="249">
        <v>4.5478616098446603</v>
      </c>
      <c r="AF68" s="249">
        <v>5.73353188096522</v>
      </c>
      <c r="AG68" s="249">
        <v>13.864643669535401</v>
      </c>
      <c r="AH68" s="249">
        <v>37.188870389043899</v>
      </c>
      <c r="AI68" s="249">
        <v>56.845554956264799</v>
      </c>
      <c r="AJ68" s="249">
        <v>14.608493773890199</v>
      </c>
      <c r="AK68" s="249">
        <v>23.324226719508498</v>
      </c>
      <c r="AL68" s="249">
        <v>62.811129610956101</v>
      </c>
      <c r="AM68" s="249">
        <v>19.6566845672209</v>
      </c>
      <c r="AN68" s="249">
        <v>49.079450320099397</v>
      </c>
      <c r="AO68" s="249">
        <v>54.911005323265201</v>
      </c>
      <c r="AP68" s="249">
        <v>57.136341251788103</v>
      </c>
      <c r="AQ68" s="249">
        <v>29.422765752878501</v>
      </c>
      <c r="AR68" s="249">
        <v>37.479656684567203</v>
      </c>
      <c r="AS68" s="249">
        <v>13.731679290856601</v>
      </c>
      <c r="AT68" s="241">
        <v>5.6747883591679802</v>
      </c>
    </row>
    <row r="69" spans="1:46" x14ac:dyDescent="0.4">
      <c r="A69" s="251" t="s">
        <v>409</v>
      </c>
      <c r="B69" s="252">
        <v>270</v>
      </c>
      <c r="C69" s="253" t="s">
        <v>410</v>
      </c>
      <c r="D69" s="253" t="s">
        <v>411</v>
      </c>
      <c r="E69" s="253" t="s">
        <v>412</v>
      </c>
      <c r="F69" s="251">
        <v>1</v>
      </c>
      <c r="G69" s="254" t="e">
        <f t="shared" si="2"/>
        <v>#N/A</v>
      </c>
      <c r="H69" s="254" t="e">
        <f t="shared" si="1"/>
        <v>#N/A</v>
      </c>
      <c r="I69" s="251">
        <v>3.242</v>
      </c>
      <c r="J69" s="251">
        <v>42.524999999999999</v>
      </c>
      <c r="K69" s="251">
        <v>706</v>
      </c>
      <c r="L69" s="251">
        <v>29.9</v>
      </c>
      <c r="M69" s="251">
        <v>68.900000000000006</v>
      </c>
      <c r="N69" s="254">
        <v>985.53099999999995</v>
      </c>
      <c r="O69" s="254">
        <v>1005.393</v>
      </c>
      <c r="P69" s="241">
        <v>7.9772224313593396</v>
      </c>
      <c r="Q69" s="241">
        <v>18.7791150151543</v>
      </c>
      <c r="R69" s="241">
        <v>47.074825652364098</v>
      </c>
      <c r="S69" s="241">
        <v>66.716927219945404</v>
      </c>
      <c r="T69" s="241">
        <v>18.188468957343801</v>
      </c>
      <c r="U69" s="241">
        <v>28.295710637209801</v>
      </c>
      <c r="V69" s="241">
        <v>52.925174347636002</v>
      </c>
      <c r="W69" s="241">
        <v>19.6421015675813</v>
      </c>
      <c r="X69" s="241">
        <v>44.766425409246402</v>
      </c>
      <c r="Y69" s="241">
        <v>49.040973850645003</v>
      </c>
      <c r="Z69" s="241">
        <v>50.502013635289003</v>
      </c>
      <c r="AA69" s="241">
        <v>25.124323841665099</v>
      </c>
      <c r="AB69" s="241">
        <v>30.8599120677077</v>
      </c>
      <c r="AC69" s="241">
        <v>31.854299864742998</v>
      </c>
      <c r="AD69" s="241">
        <v>8.1587489383895608</v>
      </c>
      <c r="AE69" s="241">
        <v>2.4231607123469501</v>
      </c>
      <c r="AF69" s="241">
        <v>7.65760254945081</v>
      </c>
      <c r="AG69" s="241">
        <v>18.017929307246</v>
      </c>
      <c r="AH69" s="241">
        <v>45.311335965140003</v>
      </c>
      <c r="AI69" s="241">
        <v>64.810676024201499</v>
      </c>
      <c r="AJ69" s="241">
        <v>17.494352954516302</v>
      </c>
      <c r="AK69" s="241">
        <v>27.293406657894</v>
      </c>
      <c r="AL69" s="241">
        <v>54.688664034859997</v>
      </c>
      <c r="AM69" s="241">
        <v>19.499340059061499</v>
      </c>
      <c r="AN69" s="241">
        <v>46.6391749296047</v>
      </c>
      <c r="AO69" s="241">
        <v>51.106582202183603</v>
      </c>
      <c r="AP69" s="241">
        <v>52.481964764027602</v>
      </c>
      <c r="AQ69" s="241">
        <v>27.139834870543201</v>
      </c>
      <c r="AR69" s="241">
        <v>32.982624704966099</v>
      </c>
      <c r="AS69" s="241">
        <v>8.0494891052553594</v>
      </c>
      <c r="AT69" s="249">
        <v>2.2066992708324</v>
      </c>
    </row>
    <row r="70" spans="1:46" x14ac:dyDescent="0.4">
      <c r="A70" s="247" t="s">
        <v>413</v>
      </c>
      <c r="B70" s="248">
        <v>268</v>
      </c>
      <c r="C70" s="249" t="s">
        <v>414</v>
      </c>
      <c r="D70" s="249" t="s">
        <v>415</v>
      </c>
      <c r="E70" s="249" t="s">
        <v>416</v>
      </c>
      <c r="F70" s="247">
        <v>1</v>
      </c>
      <c r="G70" s="250" t="e">
        <f t="shared" ref="G70:G101" si="3">VLOOKUP($B70,pop_lookup,MATCH(baseline_year,year_lookup,0),FALSE)</f>
        <v>#N/A</v>
      </c>
      <c r="H70" s="250" t="e">
        <f t="shared" si="1"/>
        <v>#N/A</v>
      </c>
      <c r="I70" s="247">
        <v>-1.214</v>
      </c>
      <c r="J70" s="247">
        <v>13.332000000000001</v>
      </c>
      <c r="K70" s="247">
        <v>36</v>
      </c>
      <c r="L70" s="247">
        <v>7.2</v>
      </c>
      <c r="M70" s="247">
        <v>11.9</v>
      </c>
      <c r="N70" s="250">
        <v>1908.1510000000001</v>
      </c>
      <c r="O70" s="250">
        <v>2091.6610000000001</v>
      </c>
      <c r="P70" s="249">
        <v>3.0109776427546899</v>
      </c>
      <c r="Q70" s="249">
        <v>7.4446414356096504</v>
      </c>
      <c r="R70" s="249">
        <v>19.106401956658601</v>
      </c>
      <c r="S70" s="249">
        <v>33.803561667813497</v>
      </c>
      <c r="T70" s="249">
        <v>7.4529217027373598</v>
      </c>
      <c r="U70" s="249">
        <v>11.661760521048899</v>
      </c>
      <c r="V70" s="249">
        <v>80.893598043341399</v>
      </c>
      <c r="W70" s="249">
        <v>14.697159711154899</v>
      </c>
      <c r="X70" s="249">
        <v>51.639519094662802</v>
      </c>
      <c r="Y70" s="249">
        <v>64.904035372462602</v>
      </c>
      <c r="Z70" s="249">
        <v>69.771050613918902</v>
      </c>
      <c r="AA70" s="249">
        <v>36.942359383507899</v>
      </c>
      <c r="AB70" s="249">
        <v>55.073890902763999</v>
      </c>
      <c r="AC70" s="249">
        <v>58.381123925727003</v>
      </c>
      <c r="AD70" s="249">
        <v>29.2540789486786</v>
      </c>
      <c r="AE70" s="249">
        <v>11.1225474294225</v>
      </c>
      <c r="AF70" s="249">
        <v>2.6248517326660501</v>
      </c>
      <c r="AG70" s="249">
        <v>6.3448618107810004</v>
      </c>
      <c r="AH70" s="249">
        <v>15.7046003152519</v>
      </c>
      <c r="AI70" s="249">
        <v>28.409431547463999</v>
      </c>
      <c r="AJ70" s="249">
        <v>5.9913628451264298</v>
      </c>
      <c r="AK70" s="249">
        <v>9.3597385044708492</v>
      </c>
      <c r="AL70" s="249">
        <v>84.295399684748105</v>
      </c>
      <c r="AM70" s="249">
        <v>12.704831232212101</v>
      </c>
      <c r="AN70" s="249">
        <v>47.670057432824898</v>
      </c>
      <c r="AO70" s="249">
        <v>62.049060531319398</v>
      </c>
      <c r="AP70" s="249">
        <v>67.621330607588902</v>
      </c>
      <c r="AQ70" s="249">
        <v>34.965226200612797</v>
      </c>
      <c r="AR70" s="249">
        <v>54.916499375376802</v>
      </c>
      <c r="AS70" s="249">
        <v>36.6253422519232</v>
      </c>
      <c r="AT70" s="241">
        <v>16.674069077159299</v>
      </c>
    </row>
    <row r="71" spans="1:46" x14ac:dyDescent="0.4">
      <c r="A71" s="251" t="s">
        <v>417</v>
      </c>
      <c r="B71" s="252">
        <v>276</v>
      </c>
      <c r="C71" s="253" t="s">
        <v>418</v>
      </c>
      <c r="D71" s="253" t="s">
        <v>196</v>
      </c>
      <c r="E71" s="253" t="s">
        <v>197</v>
      </c>
      <c r="F71" s="251">
        <v>1.2617355060728741</v>
      </c>
      <c r="G71" s="254" t="e">
        <f t="shared" si="3"/>
        <v>#N/A</v>
      </c>
      <c r="H71" s="254" t="e">
        <f t="shared" ref="H71:H134" si="4">G71*1000</f>
        <v>#N/A</v>
      </c>
      <c r="I71" s="251">
        <v>6.3E-2</v>
      </c>
      <c r="J71" s="251">
        <v>8.5</v>
      </c>
      <c r="K71" s="251">
        <v>6</v>
      </c>
      <c r="L71" s="251">
        <v>2.1</v>
      </c>
      <c r="M71" s="251">
        <v>3.7</v>
      </c>
      <c r="N71" s="254">
        <v>39652.724000000002</v>
      </c>
      <c r="O71" s="254">
        <v>41035.821000000004</v>
      </c>
      <c r="P71" s="241">
        <v>1.77442538373908</v>
      </c>
      <c r="Q71" s="241">
        <v>4.3854036358258801</v>
      </c>
      <c r="R71" s="241">
        <v>13.4601572391344</v>
      </c>
      <c r="S71" s="241">
        <v>24.310460991280198</v>
      </c>
      <c r="T71" s="241">
        <v>5.2961254313827197</v>
      </c>
      <c r="U71" s="241">
        <v>9.0747536033085705</v>
      </c>
      <c r="V71" s="241">
        <v>86.539842760865596</v>
      </c>
      <c r="W71" s="241">
        <v>10.8503037521458</v>
      </c>
      <c r="X71" s="241">
        <v>44.760685293651001</v>
      </c>
      <c r="Y71" s="241">
        <v>61.277041143503801</v>
      </c>
      <c r="Z71" s="241">
        <v>67.687170747714603</v>
      </c>
      <c r="AA71" s="241">
        <v>33.910381541505203</v>
      </c>
      <c r="AB71" s="241">
        <v>56.836866995568798</v>
      </c>
      <c r="AC71" s="241">
        <v>61.888071043996902</v>
      </c>
      <c r="AD71" s="241">
        <v>41.779157467214603</v>
      </c>
      <c r="AE71" s="241">
        <v>18.852672013151</v>
      </c>
      <c r="AF71" s="241">
        <v>1.6207815118405899</v>
      </c>
      <c r="AG71" s="241">
        <v>4.0099672917473699</v>
      </c>
      <c r="AH71" s="241">
        <v>12.3308486992377</v>
      </c>
      <c r="AI71" s="241">
        <v>22.366195622112699</v>
      </c>
      <c r="AJ71" s="241">
        <v>4.8538641398206703</v>
      </c>
      <c r="AK71" s="241">
        <v>8.3208814074902993</v>
      </c>
      <c r="AL71" s="241">
        <v>87.669151300762294</v>
      </c>
      <c r="AM71" s="241">
        <v>10.035346922875</v>
      </c>
      <c r="AN71" s="241">
        <v>42.165977378641898</v>
      </c>
      <c r="AO71" s="241">
        <v>57.814208225540298</v>
      </c>
      <c r="AP71" s="241">
        <v>64.121005401597799</v>
      </c>
      <c r="AQ71" s="241">
        <v>32.130630455766898</v>
      </c>
      <c r="AR71" s="241">
        <v>54.085658478722799</v>
      </c>
      <c r="AS71" s="241">
        <v>45.503173922120403</v>
      </c>
      <c r="AT71" s="249">
        <v>23.548145899164499</v>
      </c>
    </row>
    <row r="72" spans="1:46" x14ac:dyDescent="0.4">
      <c r="A72" s="247" t="s">
        <v>419</v>
      </c>
      <c r="B72" s="248">
        <v>288</v>
      </c>
      <c r="C72" s="249" t="s">
        <v>420</v>
      </c>
      <c r="D72" s="249" t="s">
        <v>421</v>
      </c>
      <c r="E72" s="249" t="s">
        <v>422</v>
      </c>
      <c r="F72" s="247">
        <v>1</v>
      </c>
      <c r="G72" s="250" t="e">
        <f t="shared" si="3"/>
        <v>#N/A</v>
      </c>
      <c r="H72" s="250" t="e">
        <f t="shared" si="4"/>
        <v>#N/A</v>
      </c>
      <c r="I72" s="247">
        <v>2.3940000000000001</v>
      </c>
      <c r="J72" s="247">
        <v>33.131</v>
      </c>
      <c r="K72" s="247">
        <v>319</v>
      </c>
      <c r="L72" s="247">
        <v>28.3</v>
      </c>
      <c r="M72" s="247">
        <v>61.6</v>
      </c>
      <c r="N72" s="250">
        <v>13635.406000000001</v>
      </c>
      <c r="O72" s="250">
        <v>13774.486999999999</v>
      </c>
      <c r="P72" s="249">
        <v>6.3829709214379102</v>
      </c>
      <c r="Q72" s="249">
        <v>15.193056957746601</v>
      </c>
      <c r="R72" s="249">
        <v>39.845692896859802</v>
      </c>
      <c r="S72" s="249">
        <v>59.7948091901334</v>
      </c>
      <c r="T72" s="249">
        <v>15.499083782323799</v>
      </c>
      <c r="U72" s="249">
        <v>24.6526359391132</v>
      </c>
      <c r="V72" s="249">
        <v>60.154307103140198</v>
      </c>
      <c r="W72" s="249">
        <v>19.949116293273601</v>
      </c>
      <c r="X72" s="249">
        <v>49.714801304779598</v>
      </c>
      <c r="Y72" s="249">
        <v>55.299893527189397</v>
      </c>
      <c r="Z72" s="249">
        <v>57.066404916729297</v>
      </c>
      <c r="AA72" s="249">
        <v>29.7656850115061</v>
      </c>
      <c r="AB72" s="249">
        <v>37.1172886234557</v>
      </c>
      <c r="AC72" s="249">
        <v>38.522013939298901</v>
      </c>
      <c r="AD72" s="249">
        <v>10.4395057983605</v>
      </c>
      <c r="AE72" s="249">
        <v>3.0879021864108802</v>
      </c>
      <c r="AF72" s="249">
        <v>6.0432087234900296</v>
      </c>
      <c r="AG72" s="249">
        <v>14.4059811447062</v>
      </c>
      <c r="AH72" s="249">
        <v>37.798968484271001</v>
      </c>
      <c r="AI72" s="249">
        <v>56.768858252216603</v>
      </c>
      <c r="AJ72" s="249">
        <v>14.7202142627889</v>
      </c>
      <c r="AK72" s="249">
        <v>23.392987339564801</v>
      </c>
      <c r="AL72" s="249">
        <v>62.201031515728999</v>
      </c>
      <c r="AM72" s="249">
        <v>18.969889767945599</v>
      </c>
      <c r="AN72" s="249">
        <v>50.462583470440698</v>
      </c>
      <c r="AO72" s="249">
        <v>56.524493434855302</v>
      </c>
      <c r="AP72" s="249">
        <v>58.503746818302602</v>
      </c>
      <c r="AQ72" s="249">
        <v>31.492693702495099</v>
      </c>
      <c r="AR72" s="249">
        <v>39.5338570503569</v>
      </c>
      <c r="AS72" s="249">
        <v>11.738448045288401</v>
      </c>
      <c r="AT72" s="241">
        <v>3.6972846974264799</v>
      </c>
    </row>
    <row r="73" spans="1:46" x14ac:dyDescent="0.4">
      <c r="A73" s="251" t="s">
        <v>423</v>
      </c>
      <c r="B73" s="252">
        <v>300</v>
      </c>
      <c r="C73" s="253" t="s">
        <v>424</v>
      </c>
      <c r="D73" s="253" t="s">
        <v>196</v>
      </c>
      <c r="E73" s="253" t="s">
        <v>197</v>
      </c>
      <c r="F73" s="251">
        <v>1.2617355060728741</v>
      </c>
      <c r="G73" s="254" t="e">
        <f t="shared" si="3"/>
        <v>#N/A</v>
      </c>
      <c r="H73" s="254" t="e">
        <f t="shared" si="4"/>
        <v>#N/A</v>
      </c>
      <c r="I73" s="251">
        <v>-0.40300000000000002</v>
      </c>
      <c r="J73" s="251">
        <v>8.5</v>
      </c>
      <c r="K73" s="251">
        <v>3</v>
      </c>
      <c r="L73" s="251">
        <v>2.9</v>
      </c>
      <c r="M73" s="251">
        <v>4.5999999999999996</v>
      </c>
      <c r="N73" s="254">
        <v>5345.1689999999999</v>
      </c>
      <c r="O73" s="254">
        <v>5609.4480000000003</v>
      </c>
      <c r="P73" s="241">
        <v>2.0394677885769399</v>
      </c>
      <c r="Q73" s="241">
        <v>5.1237669005414004</v>
      </c>
      <c r="R73" s="241">
        <v>15.358148638518299</v>
      </c>
      <c r="S73" s="241">
        <v>26.0226383861764</v>
      </c>
      <c r="T73" s="241">
        <v>6.1830037553536696</v>
      </c>
      <c r="U73" s="241">
        <v>10.2343817379769</v>
      </c>
      <c r="V73" s="241">
        <v>84.641851361481699</v>
      </c>
      <c r="W73" s="241">
        <v>10.6644897476581</v>
      </c>
      <c r="X73" s="241">
        <v>46.678243475557103</v>
      </c>
      <c r="Y73" s="241">
        <v>59.718093104259196</v>
      </c>
      <c r="Z73" s="241">
        <v>65.183065306260701</v>
      </c>
      <c r="AA73" s="241">
        <v>36.013753727899001</v>
      </c>
      <c r="AB73" s="241">
        <v>54.5185755586025</v>
      </c>
      <c r="AC73" s="241">
        <v>60.2699746256854</v>
      </c>
      <c r="AD73" s="241">
        <v>37.963607885924702</v>
      </c>
      <c r="AE73" s="241">
        <v>19.4587860552211</v>
      </c>
      <c r="AF73" s="241">
        <v>1.8337276680343599</v>
      </c>
      <c r="AG73" s="241">
        <v>4.6211855426772797</v>
      </c>
      <c r="AH73" s="241">
        <v>13.882114603789899</v>
      </c>
      <c r="AI73" s="241">
        <v>23.55081997373</v>
      </c>
      <c r="AJ73" s="241">
        <v>5.5949890256581396</v>
      </c>
      <c r="AK73" s="241">
        <v>9.2609290611126092</v>
      </c>
      <c r="AL73" s="241">
        <v>86.117885396210099</v>
      </c>
      <c r="AM73" s="241">
        <v>9.66870536994014</v>
      </c>
      <c r="AN73" s="241">
        <v>43.383306164884701</v>
      </c>
      <c r="AO73" s="241">
        <v>57.077380875979202</v>
      </c>
      <c r="AP73" s="241">
        <v>62.8748497178332</v>
      </c>
      <c r="AQ73" s="241">
        <v>33.714600794944502</v>
      </c>
      <c r="AR73" s="241">
        <v>53.206144347893101</v>
      </c>
      <c r="AS73" s="241">
        <v>42.734579231325398</v>
      </c>
      <c r="AT73" s="249">
        <v>23.243035678376899</v>
      </c>
    </row>
    <row r="74" spans="1:46" x14ac:dyDescent="0.4">
      <c r="A74" s="247" t="s">
        <v>425</v>
      </c>
      <c r="B74" s="248">
        <v>308</v>
      </c>
      <c r="C74" s="249" t="s">
        <v>426</v>
      </c>
      <c r="D74" s="249" t="s">
        <v>204</v>
      </c>
      <c r="E74" s="249" t="s">
        <v>205</v>
      </c>
      <c r="F74" s="247">
        <v>1</v>
      </c>
      <c r="G74" s="250" t="e">
        <f t="shared" si="3"/>
        <v>#N/A</v>
      </c>
      <c r="H74" s="250" t="e">
        <f t="shared" si="4"/>
        <v>#N/A</v>
      </c>
      <c r="I74" s="247">
        <v>0.40600000000000003</v>
      </c>
      <c r="J74" s="247">
        <v>19.334</v>
      </c>
      <c r="K74" s="247">
        <v>27</v>
      </c>
      <c r="L74" s="247">
        <v>6</v>
      </c>
      <c r="M74" s="247">
        <v>11.8</v>
      </c>
      <c r="N74" s="250">
        <v>53.584000000000003</v>
      </c>
      <c r="O74" s="250">
        <v>53.241</v>
      </c>
      <c r="P74" s="249">
        <v>3.7903105404598398</v>
      </c>
      <c r="Q74" s="249">
        <v>9.4972379814870092</v>
      </c>
      <c r="R74" s="249">
        <v>27.056584054941801</v>
      </c>
      <c r="S74" s="249">
        <v>46.030531501940899</v>
      </c>
      <c r="T74" s="249">
        <v>10.766273514481901</v>
      </c>
      <c r="U74" s="249">
        <v>17.559346073454801</v>
      </c>
      <c r="V74" s="249">
        <v>72.943415945058206</v>
      </c>
      <c r="W74" s="249">
        <v>18.973947446999102</v>
      </c>
      <c r="X74" s="249">
        <v>55.135861451179402</v>
      </c>
      <c r="Y74" s="249">
        <v>64.093759331143602</v>
      </c>
      <c r="Z74" s="249">
        <v>67.094655120931606</v>
      </c>
      <c r="AA74" s="249">
        <v>36.161914004180304</v>
      </c>
      <c r="AB74" s="249">
        <v>48.1207076739325</v>
      </c>
      <c r="AC74" s="249">
        <v>50.115706180949502</v>
      </c>
      <c r="AD74" s="249">
        <v>17.807554493878801</v>
      </c>
      <c r="AE74" s="249">
        <v>5.8487608241266003</v>
      </c>
      <c r="AF74" s="249">
        <v>3.6306605811310799</v>
      </c>
      <c r="AG74" s="249">
        <v>9.1020078510921998</v>
      </c>
      <c r="AH74" s="249">
        <v>25.9067260194211</v>
      </c>
      <c r="AI74" s="249">
        <v>44.463853045585203</v>
      </c>
      <c r="AJ74" s="249">
        <v>10.3040889540016</v>
      </c>
      <c r="AK74" s="249">
        <v>16.8047181683289</v>
      </c>
      <c r="AL74" s="249">
        <v>74.0932739805789</v>
      </c>
      <c r="AM74" s="249">
        <v>18.557127026164</v>
      </c>
      <c r="AN74" s="249">
        <v>52.884055521120899</v>
      </c>
      <c r="AO74" s="249">
        <v>62.604008189177499</v>
      </c>
      <c r="AP74" s="249">
        <v>65.614845701620894</v>
      </c>
      <c r="AQ74" s="249">
        <v>34.326928494956903</v>
      </c>
      <c r="AR74" s="249">
        <v>47.057718675456897</v>
      </c>
      <c r="AS74" s="249">
        <v>21.209218459457901</v>
      </c>
      <c r="AT74" s="241">
        <v>8.4784282789579493</v>
      </c>
    </row>
    <row r="75" spans="1:46" x14ac:dyDescent="0.4">
      <c r="A75" s="251" t="s">
        <v>427</v>
      </c>
      <c r="B75" s="252">
        <v>320</v>
      </c>
      <c r="C75" s="253" t="s">
        <v>428</v>
      </c>
      <c r="D75" s="253" t="s">
        <v>429</v>
      </c>
      <c r="E75" s="253" t="s">
        <v>430</v>
      </c>
      <c r="F75" s="251">
        <v>1</v>
      </c>
      <c r="G75" s="254" t="e">
        <f t="shared" si="3"/>
        <v>#N/A</v>
      </c>
      <c r="H75" s="254" t="e">
        <f t="shared" si="4"/>
        <v>#N/A</v>
      </c>
      <c r="I75" s="251">
        <v>2.0750000000000002</v>
      </c>
      <c r="J75" s="251">
        <v>27.465</v>
      </c>
      <c r="K75" s="251">
        <v>88</v>
      </c>
      <c r="L75" s="251">
        <v>13.4</v>
      </c>
      <c r="M75" s="251">
        <v>29.1</v>
      </c>
      <c r="N75" s="254">
        <v>7993.268</v>
      </c>
      <c r="O75" s="254">
        <v>8349.6290000000008</v>
      </c>
      <c r="P75" s="241">
        <v>5.4869047303305702</v>
      </c>
      <c r="Q75" s="241">
        <v>13.323799477260099</v>
      </c>
      <c r="R75" s="241">
        <v>38.111883650091599</v>
      </c>
      <c r="S75" s="241">
        <v>59.418600752533301</v>
      </c>
      <c r="T75" s="241">
        <v>15.0396433598874</v>
      </c>
      <c r="U75" s="241">
        <v>24.7880841728314</v>
      </c>
      <c r="V75" s="241">
        <v>61.888116349908401</v>
      </c>
      <c r="W75" s="241">
        <v>21.306717102441699</v>
      </c>
      <c r="X75" s="241">
        <v>50.390328461400301</v>
      </c>
      <c r="Y75" s="241">
        <v>55.3976921579509</v>
      </c>
      <c r="Z75" s="241">
        <v>57.400089675461899</v>
      </c>
      <c r="AA75" s="241">
        <v>29.083611358958599</v>
      </c>
      <c r="AB75" s="241">
        <v>36.093372573020197</v>
      </c>
      <c r="AC75" s="241">
        <v>37.727109862949703</v>
      </c>
      <c r="AD75" s="241">
        <v>11.497787888508199</v>
      </c>
      <c r="AE75" s="241">
        <v>4.4880266744465498</v>
      </c>
      <c r="AF75" s="241">
        <v>5.0503321764356199</v>
      </c>
      <c r="AG75" s="241">
        <v>12.269119981258999</v>
      </c>
      <c r="AH75" s="241">
        <v>35.197312359626999</v>
      </c>
      <c r="AI75" s="241">
        <v>55.327655875488603</v>
      </c>
      <c r="AJ75" s="241">
        <v>13.884413307465501</v>
      </c>
      <c r="AK75" s="241">
        <v>22.9281923783679</v>
      </c>
      <c r="AL75" s="241">
        <v>64.802687640372994</v>
      </c>
      <c r="AM75" s="241">
        <v>20.1303435158616</v>
      </c>
      <c r="AN75" s="241">
        <v>51.263307627201101</v>
      </c>
      <c r="AO75" s="241">
        <v>57.299276410963898</v>
      </c>
      <c r="AP75" s="241">
        <v>59.612948072303602</v>
      </c>
      <c r="AQ75" s="241">
        <v>31.1329641113396</v>
      </c>
      <c r="AR75" s="241">
        <v>39.482604556441999</v>
      </c>
      <c r="AS75" s="241">
        <v>13.539380013171799</v>
      </c>
      <c r="AT75" s="249">
        <v>5.18973956806943</v>
      </c>
    </row>
    <row r="76" spans="1:46" x14ac:dyDescent="0.4">
      <c r="A76" s="247" t="s">
        <v>431</v>
      </c>
      <c r="B76" s="248">
        <v>324</v>
      </c>
      <c r="C76" s="249" t="s">
        <v>432</v>
      </c>
      <c r="D76" s="249" t="s">
        <v>433</v>
      </c>
      <c r="E76" s="249" t="s">
        <v>434</v>
      </c>
      <c r="F76" s="247">
        <v>1</v>
      </c>
      <c r="G76" s="250" t="e">
        <f t="shared" si="3"/>
        <v>#N/A</v>
      </c>
      <c r="H76" s="250" t="e">
        <f t="shared" si="4"/>
        <v>#N/A</v>
      </c>
      <c r="I76" s="247">
        <v>2.7069999999999999</v>
      </c>
      <c r="J76" s="247">
        <v>37.337000000000003</v>
      </c>
      <c r="K76" s="247">
        <v>679</v>
      </c>
      <c r="L76" s="247">
        <v>31.3</v>
      </c>
      <c r="M76" s="247">
        <v>93.7</v>
      </c>
      <c r="N76" s="250">
        <v>6322.2370000000001</v>
      </c>
      <c r="O76" s="250">
        <v>6286.3530000000001</v>
      </c>
      <c r="P76" s="249">
        <v>6.8586482917359799</v>
      </c>
      <c r="Q76" s="249">
        <v>16.320267652098501</v>
      </c>
      <c r="R76" s="249">
        <v>42.756179497858099</v>
      </c>
      <c r="S76" s="249">
        <v>62.773413903970997</v>
      </c>
      <c r="T76" s="249">
        <v>16.6566201172148</v>
      </c>
      <c r="U76" s="249">
        <v>26.435911845759701</v>
      </c>
      <c r="V76" s="249">
        <v>57.243820502141901</v>
      </c>
      <c r="W76" s="249">
        <v>20.017234406112902</v>
      </c>
      <c r="X76" s="249">
        <v>47.068751139825999</v>
      </c>
      <c r="Y76" s="249">
        <v>52.460782473039203</v>
      </c>
      <c r="Z76" s="249">
        <v>54.403465102621098</v>
      </c>
      <c r="AA76" s="249">
        <v>27.0515167337131</v>
      </c>
      <c r="AB76" s="249">
        <v>34.3862306965082</v>
      </c>
      <c r="AC76" s="249">
        <v>35.643443926572203</v>
      </c>
      <c r="AD76" s="249">
        <v>10.175069362315901</v>
      </c>
      <c r="AE76" s="249">
        <v>2.84035539952077</v>
      </c>
      <c r="AF76" s="249">
        <v>6.7369268000062998</v>
      </c>
      <c r="AG76" s="249">
        <v>16.127570309844199</v>
      </c>
      <c r="AH76" s="249">
        <v>42.3065328975322</v>
      </c>
      <c r="AI76" s="249">
        <v>62.002801942557099</v>
      </c>
      <c r="AJ76" s="249">
        <v>16.557167565995702</v>
      </c>
      <c r="AK76" s="249">
        <v>26.178962587688002</v>
      </c>
      <c r="AL76" s="249">
        <v>57.6934671024678</v>
      </c>
      <c r="AM76" s="249">
        <v>19.696269045025002</v>
      </c>
      <c r="AN76" s="249">
        <v>46.643419483442898</v>
      </c>
      <c r="AO76" s="249">
        <v>52.279755845718498</v>
      </c>
      <c r="AP76" s="249">
        <v>54.405710274303701</v>
      </c>
      <c r="AQ76" s="249">
        <v>26.9471504384179</v>
      </c>
      <c r="AR76" s="249">
        <v>34.709441229278703</v>
      </c>
      <c r="AS76" s="249">
        <v>11.0500476190249</v>
      </c>
      <c r="AT76" s="241">
        <v>3.2877568281641198</v>
      </c>
    </row>
    <row r="77" spans="1:46" x14ac:dyDescent="0.4">
      <c r="A77" s="251" t="s">
        <v>435</v>
      </c>
      <c r="B77" s="252">
        <v>624</v>
      </c>
      <c r="C77" s="253" t="s">
        <v>436</v>
      </c>
      <c r="D77" s="253" t="s">
        <v>252</v>
      </c>
      <c r="E77" s="253" t="s">
        <v>253</v>
      </c>
      <c r="F77" s="251">
        <v>1</v>
      </c>
      <c r="G77" s="254" t="e">
        <f t="shared" si="3"/>
        <v>#N/A</v>
      </c>
      <c r="H77" s="254" t="e">
        <f t="shared" si="4"/>
        <v>#N/A</v>
      </c>
      <c r="I77" s="251">
        <v>2.419</v>
      </c>
      <c r="J77" s="251">
        <v>37.503</v>
      </c>
      <c r="K77" s="251">
        <v>549</v>
      </c>
      <c r="L77" s="251">
        <v>39.700000000000003</v>
      </c>
      <c r="M77" s="251">
        <v>92.5</v>
      </c>
      <c r="N77" s="254">
        <v>915.5</v>
      </c>
      <c r="O77" s="254">
        <v>928.82500000000005</v>
      </c>
      <c r="P77" s="241">
        <v>6.6718732932823599</v>
      </c>
      <c r="Q77" s="241">
        <v>15.8097214636811</v>
      </c>
      <c r="R77" s="241">
        <v>41.086182413981398</v>
      </c>
      <c r="S77" s="241">
        <v>61.050901146914299</v>
      </c>
      <c r="T77" s="241">
        <v>15.9269251774986</v>
      </c>
      <c r="U77" s="241">
        <v>25.2764609503004</v>
      </c>
      <c r="V77" s="241">
        <v>58.913817586018602</v>
      </c>
      <c r="W77" s="241">
        <v>19.964718732932798</v>
      </c>
      <c r="X77" s="241">
        <v>48.621736755871098</v>
      </c>
      <c r="Y77" s="241">
        <v>53.9540141998908</v>
      </c>
      <c r="Z77" s="241">
        <v>55.977498634625903</v>
      </c>
      <c r="AA77" s="241">
        <v>28.657018022938299</v>
      </c>
      <c r="AB77" s="241">
        <v>36.012779901693101</v>
      </c>
      <c r="AC77" s="241">
        <v>37.357509557618798</v>
      </c>
      <c r="AD77" s="241">
        <v>10.2920808301475</v>
      </c>
      <c r="AE77" s="241">
        <v>2.9363189513926802</v>
      </c>
      <c r="AF77" s="241">
        <v>6.5162974726132497</v>
      </c>
      <c r="AG77" s="241">
        <v>15.5095954566253</v>
      </c>
      <c r="AH77" s="241">
        <v>40.503862406804302</v>
      </c>
      <c r="AI77" s="241">
        <v>60.191962963959803</v>
      </c>
      <c r="AJ77" s="241">
        <v>15.7603423680457</v>
      </c>
      <c r="AK77" s="241">
        <v>24.994266950179</v>
      </c>
      <c r="AL77" s="241">
        <v>59.496137593195698</v>
      </c>
      <c r="AM77" s="241">
        <v>19.6881005571556</v>
      </c>
      <c r="AN77" s="241">
        <v>48.236858396361001</v>
      </c>
      <c r="AO77" s="241">
        <v>53.8608456921379</v>
      </c>
      <c r="AP77" s="241">
        <v>56.0989422119344</v>
      </c>
      <c r="AQ77" s="241">
        <v>28.5487578392055</v>
      </c>
      <c r="AR77" s="241">
        <v>36.410841654778899</v>
      </c>
      <c r="AS77" s="241">
        <v>11.259279196834701</v>
      </c>
      <c r="AT77" s="249">
        <v>3.3971953812612701</v>
      </c>
    </row>
    <row r="78" spans="1:46" x14ac:dyDescent="0.4">
      <c r="A78" s="247" t="s">
        <v>437</v>
      </c>
      <c r="B78" s="248">
        <v>328</v>
      </c>
      <c r="C78" s="249" t="s">
        <v>438</v>
      </c>
      <c r="D78" s="249" t="s">
        <v>439</v>
      </c>
      <c r="E78" s="249" t="s">
        <v>440</v>
      </c>
      <c r="F78" s="247">
        <v>1</v>
      </c>
      <c r="G78" s="250" t="e">
        <f t="shared" si="3"/>
        <v>#N/A</v>
      </c>
      <c r="H78" s="250" t="e">
        <f t="shared" si="4"/>
        <v>#N/A</v>
      </c>
      <c r="I78" s="247">
        <v>0.36099999999999999</v>
      </c>
      <c r="J78" s="247">
        <v>18.885000000000002</v>
      </c>
      <c r="K78" s="247">
        <v>229</v>
      </c>
      <c r="L78" s="247">
        <v>22.8</v>
      </c>
      <c r="M78" s="247">
        <v>39.4</v>
      </c>
      <c r="N78" s="250">
        <v>385.49900000000002</v>
      </c>
      <c r="O78" s="250">
        <v>381.58600000000001</v>
      </c>
      <c r="P78" s="249">
        <v>4.1112947115297303</v>
      </c>
      <c r="Q78" s="249">
        <v>8.9268714056326992</v>
      </c>
      <c r="R78" s="249">
        <v>28.993590126044399</v>
      </c>
      <c r="S78" s="249">
        <v>50.803244625796701</v>
      </c>
      <c r="T78" s="249">
        <v>10.520649859013901</v>
      </c>
      <c r="U78" s="249">
        <v>20.0667187204117</v>
      </c>
      <c r="V78" s="249">
        <v>71.006409873955604</v>
      </c>
      <c r="W78" s="249">
        <v>21.809654499752298</v>
      </c>
      <c r="X78" s="249">
        <v>52.145141751340503</v>
      </c>
      <c r="Y78" s="249">
        <v>63.367998360566403</v>
      </c>
      <c r="Z78" s="249">
        <v>66.437007618696796</v>
      </c>
      <c r="AA78" s="249">
        <v>30.335487251588201</v>
      </c>
      <c r="AB78" s="249">
        <v>44.627353118944498</v>
      </c>
      <c r="AC78" s="249">
        <v>46.7638048347726</v>
      </c>
      <c r="AD78" s="249">
        <v>18.861268122615101</v>
      </c>
      <c r="AE78" s="249">
        <v>4.5694022552587699</v>
      </c>
      <c r="AF78" s="249">
        <v>3.9849470368409801</v>
      </c>
      <c r="AG78" s="249">
        <v>8.5757863233976099</v>
      </c>
      <c r="AH78" s="249">
        <v>28.6184503624347</v>
      </c>
      <c r="AI78" s="249">
        <v>50.460970790333</v>
      </c>
      <c r="AJ78" s="249">
        <v>10.3520569412924</v>
      </c>
      <c r="AK78" s="249">
        <v>20.042664039037099</v>
      </c>
      <c r="AL78" s="249">
        <v>71.3815496375653</v>
      </c>
      <c r="AM78" s="249">
        <v>21.8425204278983</v>
      </c>
      <c r="AN78" s="249">
        <v>50.770468518237102</v>
      </c>
      <c r="AO78" s="249">
        <v>62.402446630641599</v>
      </c>
      <c r="AP78" s="249">
        <v>65.933498608439507</v>
      </c>
      <c r="AQ78" s="249">
        <v>28.927948090338798</v>
      </c>
      <c r="AR78" s="249">
        <v>44.0909781805412</v>
      </c>
      <c r="AS78" s="249">
        <v>20.611081119328301</v>
      </c>
      <c r="AT78" s="241">
        <v>5.4480510291258097</v>
      </c>
    </row>
    <row r="79" spans="1:46" x14ac:dyDescent="0.4">
      <c r="A79" s="251" t="s">
        <v>441</v>
      </c>
      <c r="B79" s="252">
        <v>332</v>
      </c>
      <c r="C79" s="253" t="s">
        <v>442</v>
      </c>
      <c r="D79" s="253" t="s">
        <v>443</v>
      </c>
      <c r="E79" s="253" t="s">
        <v>444</v>
      </c>
      <c r="F79" s="251">
        <v>1</v>
      </c>
      <c r="G79" s="254" t="e">
        <f t="shared" si="3"/>
        <v>#N/A</v>
      </c>
      <c r="H79" s="254" t="e">
        <f t="shared" si="4"/>
        <v>#N/A</v>
      </c>
      <c r="I79" s="251">
        <v>1.375</v>
      </c>
      <c r="J79" s="251">
        <v>25.344999999999999</v>
      </c>
      <c r="K79" s="251">
        <v>359</v>
      </c>
      <c r="L79" s="251">
        <v>25.4</v>
      </c>
      <c r="M79" s="251">
        <v>69</v>
      </c>
      <c r="N79" s="254">
        <v>5297.4219999999996</v>
      </c>
      <c r="O79" s="254">
        <v>5413.6450000000004</v>
      </c>
      <c r="P79" s="241">
        <v>4.7698861823732397</v>
      </c>
      <c r="Q79" s="241">
        <v>11.908377320137999</v>
      </c>
      <c r="R79" s="241">
        <v>34.698160727991798</v>
      </c>
      <c r="S79" s="241">
        <v>55.191808392837103</v>
      </c>
      <c r="T79" s="241">
        <v>13.913258184830299</v>
      </c>
      <c r="U79" s="241">
        <v>22.7897834078539</v>
      </c>
      <c r="V79" s="241">
        <v>65.301839272008195</v>
      </c>
      <c r="W79" s="241">
        <v>20.493647664845302</v>
      </c>
      <c r="X79" s="241">
        <v>52.3204872105715</v>
      </c>
      <c r="Y79" s="241">
        <v>58.847378970374599</v>
      </c>
      <c r="Z79" s="241">
        <v>61.160787265956898</v>
      </c>
      <c r="AA79" s="241">
        <v>31.826839545726202</v>
      </c>
      <c r="AB79" s="241">
        <v>40.6671396011116</v>
      </c>
      <c r="AC79" s="241">
        <v>42.2089084086561</v>
      </c>
      <c r="AD79" s="241">
        <v>12.9813520614367</v>
      </c>
      <c r="AE79" s="241">
        <v>4.1410520060512397</v>
      </c>
      <c r="AF79" s="241">
        <v>4.4827098932419798</v>
      </c>
      <c r="AG79" s="241">
        <v>11.2069779233769</v>
      </c>
      <c r="AH79" s="241">
        <v>32.805124828096403</v>
      </c>
      <c r="AI79" s="241">
        <v>52.710567464250097</v>
      </c>
      <c r="AJ79" s="241">
        <v>13.156440808364801</v>
      </c>
      <c r="AK79" s="241">
        <v>21.598146904719499</v>
      </c>
      <c r="AL79" s="241">
        <v>67.194875171903604</v>
      </c>
      <c r="AM79" s="241">
        <v>19.905442636153602</v>
      </c>
      <c r="AN79" s="241">
        <v>52.696972187869697</v>
      </c>
      <c r="AO79" s="241">
        <v>59.559723624286399</v>
      </c>
      <c r="AP79" s="241">
        <v>62.084732190603603</v>
      </c>
      <c r="AQ79" s="241">
        <v>32.791529551716103</v>
      </c>
      <c r="AR79" s="241">
        <v>42.179289554449902</v>
      </c>
      <c r="AS79" s="241">
        <v>14.4979029840339</v>
      </c>
      <c r="AT79" s="249">
        <v>5.1101429813000303</v>
      </c>
    </row>
    <row r="80" spans="1:46" x14ac:dyDescent="0.4">
      <c r="A80" s="247" t="s">
        <v>445</v>
      </c>
      <c r="B80" s="248">
        <v>340</v>
      </c>
      <c r="C80" s="249" t="s">
        <v>446</v>
      </c>
      <c r="D80" s="249" t="s">
        <v>447</v>
      </c>
      <c r="E80" s="249" t="s">
        <v>448</v>
      </c>
      <c r="F80" s="247">
        <v>1</v>
      </c>
      <c r="G80" s="250" t="e">
        <f t="shared" si="3"/>
        <v>#N/A</v>
      </c>
      <c r="H80" s="250" t="e">
        <f t="shared" si="4"/>
        <v>#N/A</v>
      </c>
      <c r="I80" s="247">
        <v>1.4670000000000001</v>
      </c>
      <c r="J80" s="247">
        <v>21.593</v>
      </c>
      <c r="K80" s="247">
        <v>129</v>
      </c>
      <c r="L80" s="247">
        <v>11</v>
      </c>
      <c r="M80" s="247">
        <v>20.399999999999999</v>
      </c>
      <c r="N80" s="250">
        <v>4035.962</v>
      </c>
      <c r="O80" s="250">
        <v>4039.098</v>
      </c>
      <c r="P80" s="249">
        <v>4.0682989582161602</v>
      </c>
      <c r="Q80" s="249">
        <v>10.31035475557</v>
      </c>
      <c r="R80" s="249">
        <v>32.360413700624498</v>
      </c>
      <c r="S80" s="249">
        <v>54.180143420577302</v>
      </c>
      <c r="T80" s="249">
        <v>13.036520165452499</v>
      </c>
      <c r="U80" s="249">
        <v>22.050058945054499</v>
      </c>
      <c r="V80" s="249">
        <v>67.639586299375495</v>
      </c>
      <c r="W80" s="249">
        <v>21.8197297199528</v>
      </c>
      <c r="X80" s="249">
        <v>54.266715097912197</v>
      </c>
      <c r="Y80" s="249">
        <v>60.7618456268914</v>
      </c>
      <c r="Z80" s="249">
        <v>63.086124200376503</v>
      </c>
      <c r="AA80" s="249">
        <v>32.4469853779595</v>
      </c>
      <c r="AB80" s="249">
        <v>41.266394480423699</v>
      </c>
      <c r="AC80" s="249">
        <v>42.897975749028397</v>
      </c>
      <c r="AD80" s="249">
        <v>13.3728712014632</v>
      </c>
      <c r="AE80" s="249">
        <v>4.55346209899895</v>
      </c>
      <c r="AF80" s="249">
        <v>3.9012423070695501</v>
      </c>
      <c r="AG80" s="249">
        <v>9.8984228656992208</v>
      </c>
      <c r="AH80" s="249">
        <v>31.165646389367101</v>
      </c>
      <c r="AI80" s="249">
        <v>52.551213166900098</v>
      </c>
      <c r="AJ80" s="249">
        <v>12.555006092944501</v>
      </c>
      <c r="AK80" s="249">
        <v>21.267223523667901</v>
      </c>
      <c r="AL80" s="249">
        <v>68.834353610632903</v>
      </c>
      <c r="AM80" s="249">
        <v>21.385566777533001</v>
      </c>
      <c r="AN80" s="249">
        <v>54.768539906682101</v>
      </c>
      <c r="AO80" s="249">
        <v>61.314258777578502</v>
      </c>
      <c r="AP80" s="249">
        <v>63.681519982926901</v>
      </c>
      <c r="AQ80" s="249">
        <v>33.3829731291491</v>
      </c>
      <c r="AR80" s="249">
        <v>42.2959532053939</v>
      </c>
      <c r="AS80" s="249">
        <v>14.065813703950701</v>
      </c>
      <c r="AT80" s="241">
        <v>5.1528336277059896</v>
      </c>
    </row>
    <row r="81" spans="1:46" x14ac:dyDescent="0.4">
      <c r="A81" s="251" t="s">
        <v>449</v>
      </c>
      <c r="B81" s="252">
        <v>348</v>
      </c>
      <c r="C81" s="253" t="s">
        <v>450</v>
      </c>
      <c r="D81" s="253" t="s">
        <v>451</v>
      </c>
      <c r="E81" s="253" t="s">
        <v>452</v>
      </c>
      <c r="F81" s="251">
        <v>390.81896694214879</v>
      </c>
      <c r="G81" s="254" t="e">
        <f t="shared" si="3"/>
        <v>#N/A</v>
      </c>
      <c r="H81" s="254" t="e">
        <f t="shared" si="4"/>
        <v>#N/A</v>
      </c>
      <c r="I81" s="251">
        <v>-0.32100000000000001</v>
      </c>
      <c r="J81" s="251">
        <v>9.1999999999999993</v>
      </c>
      <c r="K81" s="251">
        <v>17</v>
      </c>
      <c r="L81" s="251">
        <v>3.5</v>
      </c>
      <c r="M81" s="251">
        <v>5.9</v>
      </c>
      <c r="N81" s="254">
        <v>4690.8649999999998</v>
      </c>
      <c r="O81" s="254">
        <v>5164.1580000000004</v>
      </c>
      <c r="P81" s="241">
        <v>1.9443535467339199</v>
      </c>
      <c r="Q81" s="241">
        <v>5.0808326396091097</v>
      </c>
      <c r="R81" s="241">
        <v>15.706335611875399</v>
      </c>
      <c r="S81" s="241">
        <v>27.747654217292499</v>
      </c>
      <c r="T81" s="241">
        <v>6.4269596332446097</v>
      </c>
      <c r="U81" s="241">
        <v>10.6255029722663</v>
      </c>
      <c r="V81" s="241">
        <v>84.293664388124597</v>
      </c>
      <c r="W81" s="241">
        <v>12.0413186054171</v>
      </c>
      <c r="X81" s="241">
        <v>51.196442447181902</v>
      </c>
      <c r="Y81" s="241">
        <v>63.697079323323102</v>
      </c>
      <c r="Z81" s="241">
        <v>70.367405585110603</v>
      </c>
      <c r="AA81" s="241">
        <v>39.155123841764798</v>
      </c>
      <c r="AB81" s="241">
        <v>58.3260869796935</v>
      </c>
      <c r="AC81" s="241">
        <v>63.194592042192603</v>
      </c>
      <c r="AD81" s="241">
        <v>33.097221940942703</v>
      </c>
      <c r="AE81" s="241">
        <v>13.9262588030139</v>
      </c>
      <c r="AF81" s="241">
        <v>1.66085158509867</v>
      </c>
      <c r="AG81" s="241">
        <v>4.3568961290494999</v>
      </c>
      <c r="AH81" s="241">
        <v>13.5162595722284</v>
      </c>
      <c r="AI81" s="241">
        <v>23.9616990804696</v>
      </c>
      <c r="AJ81" s="241">
        <v>5.5412712004551397</v>
      </c>
      <c r="AK81" s="241">
        <v>9.1593634431789308</v>
      </c>
      <c r="AL81" s="241">
        <v>86.483740427771593</v>
      </c>
      <c r="AM81" s="241">
        <v>10.445439508241201</v>
      </c>
      <c r="AN81" s="241">
        <v>45.030419286164403</v>
      </c>
      <c r="AO81" s="241">
        <v>57.648487904514099</v>
      </c>
      <c r="AP81" s="241">
        <v>65.130869349853299</v>
      </c>
      <c r="AQ81" s="241">
        <v>34.584979777923103</v>
      </c>
      <c r="AR81" s="241">
        <v>54.685429841612098</v>
      </c>
      <c r="AS81" s="241">
        <v>41.453321141607198</v>
      </c>
      <c r="AT81" s="249">
        <v>21.352871077918198</v>
      </c>
    </row>
    <row r="82" spans="1:46" x14ac:dyDescent="0.4">
      <c r="A82" s="247" t="s">
        <v>453</v>
      </c>
      <c r="B82" s="248">
        <v>352</v>
      </c>
      <c r="C82" s="249" t="s">
        <v>454</v>
      </c>
      <c r="D82" s="249" t="s">
        <v>455</v>
      </c>
      <c r="E82" s="249" t="s">
        <v>456</v>
      </c>
      <c r="F82" s="247">
        <v>184.48025416666678</v>
      </c>
      <c r="G82" s="250" t="e">
        <f t="shared" si="3"/>
        <v>#N/A</v>
      </c>
      <c r="H82" s="250" t="e">
        <f t="shared" si="4"/>
        <v>#N/A</v>
      </c>
      <c r="I82" s="247">
        <v>0.70299999999999996</v>
      </c>
      <c r="J82" s="247">
        <v>13.4</v>
      </c>
      <c r="K82" s="247">
        <v>3</v>
      </c>
      <c r="L82" s="247">
        <v>0.9</v>
      </c>
      <c r="M82" s="247">
        <v>2</v>
      </c>
      <c r="N82" s="250">
        <v>165.02</v>
      </c>
      <c r="O82" s="250">
        <v>164.405</v>
      </c>
      <c r="P82" s="249">
        <v>2.6572536662222799</v>
      </c>
      <c r="Q82" s="249">
        <v>7.07671797357896</v>
      </c>
      <c r="R82" s="249">
        <v>20.637498485032101</v>
      </c>
      <c r="S82" s="249">
        <v>35.384195855047899</v>
      </c>
      <c r="T82" s="249">
        <v>8.5286631923403196</v>
      </c>
      <c r="U82" s="249">
        <v>13.560780511453199</v>
      </c>
      <c r="V82" s="249">
        <v>79.362501514967903</v>
      </c>
      <c r="W82" s="249">
        <v>14.7466973700158</v>
      </c>
      <c r="X82" s="249">
        <v>48.123863774088001</v>
      </c>
      <c r="Y82" s="249">
        <v>60.962913586231998</v>
      </c>
      <c r="Z82" s="249">
        <v>66.467700884741205</v>
      </c>
      <c r="AA82" s="249">
        <v>33.377166404072199</v>
      </c>
      <c r="AB82" s="249">
        <v>51.721003514725503</v>
      </c>
      <c r="AC82" s="249">
        <v>56.384680644770299</v>
      </c>
      <c r="AD82" s="249">
        <v>31.238637740879899</v>
      </c>
      <c r="AE82" s="249">
        <v>12.8948006302266</v>
      </c>
      <c r="AF82" s="249">
        <v>2.71524588668228</v>
      </c>
      <c r="AG82" s="249">
        <v>6.8933426598947696</v>
      </c>
      <c r="AH82" s="249">
        <v>20.000608254006899</v>
      </c>
      <c r="AI82" s="249">
        <v>34.0318116845595</v>
      </c>
      <c r="AJ82" s="249">
        <v>8.0630151151120693</v>
      </c>
      <c r="AK82" s="249">
        <v>13.1072655941121</v>
      </c>
      <c r="AL82" s="249">
        <v>79.999391745993094</v>
      </c>
      <c r="AM82" s="249">
        <v>14.031203430552599</v>
      </c>
      <c r="AN82" s="249">
        <v>47.063045527812399</v>
      </c>
      <c r="AO82" s="249">
        <v>60.080289528907301</v>
      </c>
      <c r="AP82" s="249">
        <v>65.463337489735693</v>
      </c>
      <c r="AQ82" s="249">
        <v>33.031842097259798</v>
      </c>
      <c r="AR82" s="249">
        <v>51.432134059183099</v>
      </c>
      <c r="AS82" s="249">
        <v>32.936346218180702</v>
      </c>
      <c r="AT82" s="241">
        <v>14.536054256257399</v>
      </c>
    </row>
    <row r="83" spans="1:46" x14ac:dyDescent="0.4">
      <c r="A83" s="251" t="s">
        <v>457</v>
      </c>
      <c r="B83" s="252">
        <v>356</v>
      </c>
      <c r="C83" s="253" t="s">
        <v>458</v>
      </c>
      <c r="D83" s="253" t="s">
        <v>459</v>
      </c>
      <c r="E83" s="253" t="s">
        <v>460</v>
      </c>
      <c r="F83" s="251">
        <v>89.75085194805196</v>
      </c>
      <c r="G83" s="254" t="e">
        <f t="shared" si="3"/>
        <v>#N/A</v>
      </c>
      <c r="H83" s="254" t="e">
        <f t="shared" si="4"/>
        <v>#N/A</v>
      </c>
      <c r="I83" s="251">
        <v>1.26</v>
      </c>
      <c r="J83" s="251">
        <v>20.291</v>
      </c>
      <c r="K83" s="251">
        <v>174</v>
      </c>
      <c r="L83" s="251">
        <v>27.7</v>
      </c>
      <c r="M83" s="251">
        <v>47.7</v>
      </c>
      <c r="N83" s="254">
        <v>679548.40800000005</v>
      </c>
      <c r="O83" s="254">
        <v>631502.11899999995</v>
      </c>
      <c r="P83" s="241">
        <v>3.7825748243089099</v>
      </c>
      <c r="Q83" s="241">
        <v>9.5821144209052491</v>
      </c>
      <c r="R83" s="241">
        <v>29.276132010304099</v>
      </c>
      <c r="S83" s="241">
        <v>47.965323465226902</v>
      </c>
      <c r="T83" s="241">
        <v>11.829849360783101</v>
      </c>
      <c r="U83" s="241">
        <v>19.6940175893989</v>
      </c>
      <c r="V83" s="241">
        <v>70.723867989695904</v>
      </c>
      <c r="W83" s="241">
        <v>18.689191454922799</v>
      </c>
      <c r="X83" s="241">
        <v>53.750377706719597</v>
      </c>
      <c r="Y83" s="241">
        <v>62.392464761686298</v>
      </c>
      <c r="Z83" s="241">
        <v>65.579786775101994</v>
      </c>
      <c r="AA83" s="241">
        <v>35.061186251796798</v>
      </c>
      <c r="AB83" s="241">
        <v>46.890595320179202</v>
      </c>
      <c r="AC83" s="241">
        <v>48.980273234633202</v>
      </c>
      <c r="AD83" s="241">
        <v>16.9734902829763</v>
      </c>
      <c r="AE83" s="241">
        <v>5.1440812145939203</v>
      </c>
      <c r="AF83" s="241">
        <v>3.6668130324991002</v>
      </c>
      <c r="AG83" s="241">
        <v>9.2788890546858198</v>
      </c>
      <c r="AH83" s="241">
        <v>28.262993999549799</v>
      </c>
      <c r="AI83" s="241">
        <v>46.400384287546601</v>
      </c>
      <c r="AJ83" s="241">
        <v>11.409431390997399</v>
      </c>
      <c r="AK83" s="241">
        <v>18.984104944864001</v>
      </c>
      <c r="AL83" s="241">
        <v>71.737006000450194</v>
      </c>
      <c r="AM83" s="241">
        <v>18.137390287996801</v>
      </c>
      <c r="AN83" s="241">
        <v>53.3233252697922</v>
      </c>
      <c r="AO83" s="241">
        <v>62.245842281963903</v>
      </c>
      <c r="AP83" s="241">
        <v>65.612953707285996</v>
      </c>
      <c r="AQ83" s="241">
        <v>35.185934981795398</v>
      </c>
      <c r="AR83" s="241">
        <v>47.475563419289202</v>
      </c>
      <c r="AS83" s="241">
        <v>18.413680730658001</v>
      </c>
      <c r="AT83" s="249">
        <v>6.1240522931642003</v>
      </c>
    </row>
    <row r="84" spans="1:46" x14ac:dyDescent="0.4">
      <c r="A84" s="247" t="s">
        <v>461</v>
      </c>
      <c r="B84" s="248">
        <v>360</v>
      </c>
      <c r="C84" s="249" t="s">
        <v>462</v>
      </c>
      <c r="D84" s="249" t="s">
        <v>463</v>
      </c>
      <c r="E84" s="249" t="s">
        <v>464</v>
      </c>
      <c r="F84" s="247">
        <v>18744.306837606844</v>
      </c>
      <c r="G84" s="250" t="e">
        <f t="shared" si="3"/>
        <v>#N/A</v>
      </c>
      <c r="H84" s="250" t="e">
        <f t="shared" si="4"/>
        <v>#N/A</v>
      </c>
      <c r="I84" s="247">
        <v>1.2789999999999999</v>
      </c>
      <c r="J84" s="247">
        <v>20.297000000000001</v>
      </c>
      <c r="K84" s="247">
        <v>126</v>
      </c>
      <c r="L84" s="247">
        <v>13.5</v>
      </c>
      <c r="M84" s="247">
        <v>27.2</v>
      </c>
      <c r="N84" s="250">
        <v>129687.879</v>
      </c>
      <c r="O84" s="250">
        <v>127875.936</v>
      </c>
      <c r="P84" s="249">
        <v>4.1242335376615999</v>
      </c>
      <c r="Q84" s="249">
        <v>9.7895555836794905</v>
      </c>
      <c r="R84" s="249">
        <v>28.2206542987722</v>
      </c>
      <c r="S84" s="249">
        <v>45.504409089765403</v>
      </c>
      <c r="T84" s="249">
        <v>10.932232919006999</v>
      </c>
      <c r="U84" s="249">
        <v>18.431098715092698</v>
      </c>
      <c r="V84" s="249">
        <v>71.779345701227797</v>
      </c>
      <c r="W84" s="249">
        <v>17.2837547909932</v>
      </c>
      <c r="X84" s="249">
        <v>54.443338532816902</v>
      </c>
      <c r="Y84" s="249">
        <v>64.075985081073</v>
      </c>
      <c r="Z84" s="249">
        <v>67.190620027026597</v>
      </c>
      <c r="AA84" s="249">
        <v>37.159583741823702</v>
      </c>
      <c r="AB84" s="249">
        <v>49.906865236033397</v>
      </c>
      <c r="AC84" s="249">
        <v>51.8474937815893</v>
      </c>
      <c r="AD84" s="249">
        <v>17.336007168410902</v>
      </c>
      <c r="AE84" s="249">
        <v>4.5887256742012097</v>
      </c>
      <c r="AF84" s="249">
        <v>4.02723933922955</v>
      </c>
      <c r="AG84" s="249">
        <v>9.5152343596530908</v>
      </c>
      <c r="AH84" s="249">
        <v>27.156634849578001</v>
      </c>
      <c r="AI84" s="249">
        <v>43.993468794629202</v>
      </c>
      <c r="AJ84" s="249">
        <v>10.4749293878091</v>
      </c>
      <c r="AK84" s="249">
        <v>17.641400489924902</v>
      </c>
      <c r="AL84" s="249">
        <v>72.843365150422002</v>
      </c>
      <c r="AM84" s="249">
        <v>16.8368339450512</v>
      </c>
      <c r="AN84" s="249">
        <v>54.3569393697341</v>
      </c>
      <c r="AO84" s="249">
        <v>64.081660368061705</v>
      </c>
      <c r="AP84" s="249">
        <v>67.076343433372799</v>
      </c>
      <c r="AQ84" s="249">
        <v>37.520105424682903</v>
      </c>
      <c r="AR84" s="249">
        <v>50.239509488321502</v>
      </c>
      <c r="AS84" s="249">
        <v>18.486425780687899</v>
      </c>
      <c r="AT84" s="241">
        <v>5.7670217170492499</v>
      </c>
    </row>
    <row r="85" spans="1:46" x14ac:dyDescent="0.4">
      <c r="A85" s="251" t="s">
        <v>465</v>
      </c>
      <c r="B85" s="252">
        <v>364</v>
      </c>
      <c r="C85" s="253" t="s">
        <v>466</v>
      </c>
      <c r="D85" s="253" t="s">
        <v>467</v>
      </c>
      <c r="E85" s="253" t="s">
        <v>468</v>
      </c>
      <c r="F85" s="251">
        <v>40603.386979166651</v>
      </c>
      <c r="G85" s="254" t="e">
        <f t="shared" si="3"/>
        <v>#N/A</v>
      </c>
      <c r="H85" s="254" t="e">
        <f t="shared" si="4"/>
        <v>#N/A</v>
      </c>
      <c r="I85" s="251">
        <v>1.2669999999999999</v>
      </c>
      <c r="J85" s="251">
        <v>17.899999999999999</v>
      </c>
      <c r="K85" s="251">
        <v>25</v>
      </c>
      <c r="L85" s="251">
        <v>9.5</v>
      </c>
      <c r="M85" s="251">
        <v>15.5</v>
      </c>
      <c r="N85" s="254">
        <v>39835.201999999997</v>
      </c>
      <c r="O85" s="254">
        <v>39274.07</v>
      </c>
      <c r="P85" s="241">
        <v>3.4813530002935602</v>
      </c>
      <c r="Q85" s="241">
        <v>8.7676372269933491</v>
      </c>
      <c r="R85" s="241">
        <v>23.9391154587342</v>
      </c>
      <c r="S85" s="241">
        <v>40.195001396001501</v>
      </c>
      <c r="T85" s="241">
        <v>9.6101407995872599</v>
      </c>
      <c r="U85" s="241">
        <v>15.171478231740901</v>
      </c>
      <c r="V85" s="241">
        <v>76.060884541265807</v>
      </c>
      <c r="W85" s="241">
        <v>16.255885937267202</v>
      </c>
      <c r="X85" s="241">
        <v>59.037925802409603</v>
      </c>
      <c r="Y85" s="241">
        <v>67.766153162722802</v>
      </c>
      <c r="Z85" s="241">
        <v>70.843079947228603</v>
      </c>
      <c r="AA85" s="241">
        <v>42.782039865142401</v>
      </c>
      <c r="AB85" s="241">
        <v>54.587194009961401</v>
      </c>
      <c r="AC85" s="241">
        <v>56.419492990144803</v>
      </c>
      <c r="AD85" s="241">
        <v>17.0229587388562</v>
      </c>
      <c r="AE85" s="241">
        <v>5.2178045940372</v>
      </c>
      <c r="AF85" s="241">
        <v>3.3465235459426501</v>
      </c>
      <c r="AG85" s="241">
        <v>8.5621709183693007</v>
      </c>
      <c r="AH85" s="241">
        <v>23.275117653963498</v>
      </c>
      <c r="AI85" s="241">
        <v>38.781519205929001</v>
      </c>
      <c r="AJ85" s="241">
        <v>9.4661490393025201</v>
      </c>
      <c r="AK85" s="241">
        <v>14.712946735594199</v>
      </c>
      <c r="AL85" s="241">
        <v>76.724882346036495</v>
      </c>
      <c r="AM85" s="241">
        <v>15.506401551965499</v>
      </c>
      <c r="AN85" s="241">
        <v>59.771946223042299</v>
      </c>
      <c r="AO85" s="241">
        <v>68.583788234832795</v>
      </c>
      <c r="AP85" s="241">
        <v>71.822696247167698</v>
      </c>
      <c r="AQ85" s="241">
        <v>44.265544671076903</v>
      </c>
      <c r="AR85" s="241">
        <v>56.316294695202203</v>
      </c>
      <c r="AS85" s="241">
        <v>16.9529361229941</v>
      </c>
      <c r="AT85" s="249">
        <v>4.9021860988687997</v>
      </c>
    </row>
    <row r="86" spans="1:46" x14ac:dyDescent="0.4">
      <c r="A86" s="247" t="s">
        <v>469</v>
      </c>
      <c r="B86" s="248">
        <v>368</v>
      </c>
      <c r="C86" s="249" t="s">
        <v>470</v>
      </c>
      <c r="D86" s="249" t="s">
        <v>471</v>
      </c>
      <c r="E86" s="249" t="s">
        <v>472</v>
      </c>
      <c r="F86" s="247">
        <v>1</v>
      </c>
      <c r="G86" s="250" t="e">
        <f t="shared" si="3"/>
        <v>#N/A</v>
      </c>
      <c r="H86" s="250" t="e">
        <f t="shared" si="4"/>
        <v>#N/A</v>
      </c>
      <c r="I86" s="247">
        <v>3.31</v>
      </c>
      <c r="J86" s="247">
        <v>31.093</v>
      </c>
      <c r="K86" s="247">
        <v>50</v>
      </c>
      <c r="L86" s="247">
        <v>18.399999999999999</v>
      </c>
      <c r="M86" s="247">
        <v>32</v>
      </c>
      <c r="N86" s="250">
        <v>18436.976999999999</v>
      </c>
      <c r="O86" s="250">
        <v>17986.418000000001</v>
      </c>
      <c r="P86" s="249">
        <v>6.59793088639206</v>
      </c>
      <c r="Q86" s="249">
        <v>15.9689356883181</v>
      </c>
      <c r="R86" s="249">
        <v>41.634330834170903</v>
      </c>
      <c r="S86" s="249">
        <v>61.434686391375401</v>
      </c>
      <c r="T86" s="249">
        <v>16.387285182381</v>
      </c>
      <c r="U86" s="249">
        <v>25.665395145852798</v>
      </c>
      <c r="V86" s="249">
        <v>58.365669165829097</v>
      </c>
      <c r="W86" s="249">
        <v>19.800355557204401</v>
      </c>
      <c r="X86" s="249">
        <v>49.537025511286402</v>
      </c>
      <c r="Y86" s="249">
        <v>53.861031556312099</v>
      </c>
      <c r="Z86" s="249">
        <v>55.637635171969897</v>
      </c>
      <c r="AA86" s="249">
        <v>29.736669954082</v>
      </c>
      <c r="AB86" s="249">
        <v>35.8372796147655</v>
      </c>
      <c r="AC86" s="249">
        <v>36.886589379592998</v>
      </c>
      <c r="AD86" s="249">
        <v>8.82864365454272</v>
      </c>
      <c r="AE86" s="249">
        <v>2.72803399385919</v>
      </c>
      <c r="AF86" s="249">
        <v>6.4007408256607903</v>
      </c>
      <c r="AG86" s="249">
        <v>15.4742094840674</v>
      </c>
      <c r="AH86" s="249">
        <v>40.3148642492352</v>
      </c>
      <c r="AI86" s="249">
        <v>59.6197475228253</v>
      </c>
      <c r="AJ86" s="249">
        <v>15.850193184657501</v>
      </c>
      <c r="AK86" s="249">
        <v>24.840654765167798</v>
      </c>
      <c r="AL86" s="249">
        <v>59.6851357507648</v>
      </c>
      <c r="AM86" s="249">
        <v>19.3048832735901</v>
      </c>
      <c r="AN86" s="249">
        <v>49.155707378756603</v>
      </c>
      <c r="AO86" s="249">
        <v>54.202938016897001</v>
      </c>
      <c r="AP86" s="249">
        <v>56.292475800351198</v>
      </c>
      <c r="AQ86" s="249">
        <v>29.850824105166499</v>
      </c>
      <c r="AR86" s="249">
        <v>36.987592526760999</v>
      </c>
      <c r="AS86" s="249">
        <v>10.529428372008301</v>
      </c>
      <c r="AT86" s="241">
        <v>3.3926599504136998</v>
      </c>
    </row>
    <row r="87" spans="1:46" x14ac:dyDescent="0.4">
      <c r="A87" s="251" t="s">
        <v>473</v>
      </c>
      <c r="B87" s="252">
        <v>372</v>
      </c>
      <c r="C87" s="253" t="s">
        <v>474</v>
      </c>
      <c r="D87" s="253" t="s">
        <v>196</v>
      </c>
      <c r="E87" s="253" t="s">
        <v>197</v>
      </c>
      <c r="F87" s="251">
        <v>1.2617355060728741</v>
      </c>
      <c r="G87" s="254" t="e">
        <f t="shared" si="3"/>
        <v>#N/A</v>
      </c>
      <c r="H87" s="254" t="e">
        <f t="shared" si="4"/>
        <v>#N/A</v>
      </c>
      <c r="I87" s="251">
        <v>0.30599999999999999</v>
      </c>
      <c r="J87" s="251">
        <v>15</v>
      </c>
      <c r="K87" s="251">
        <v>8</v>
      </c>
      <c r="L87" s="251">
        <v>2.2999999999999998</v>
      </c>
      <c r="M87" s="251">
        <v>3.6</v>
      </c>
      <c r="N87" s="254">
        <v>2340.0970000000002</v>
      </c>
      <c r="O87" s="254">
        <v>2348.3679999999999</v>
      </c>
      <c r="P87" s="241">
        <v>3.01149909597765</v>
      </c>
      <c r="Q87" s="241">
        <v>7.8094198659286302</v>
      </c>
      <c r="R87" s="241">
        <v>22.513169325886899</v>
      </c>
      <c r="S87" s="241">
        <v>33.970643097273303</v>
      </c>
      <c r="T87" s="241">
        <v>9.3068364260113992</v>
      </c>
      <c r="U87" s="241">
        <v>14.703749459958299</v>
      </c>
      <c r="V87" s="241">
        <v>77.486830674113094</v>
      </c>
      <c r="W87" s="241">
        <v>11.4574737713864</v>
      </c>
      <c r="X87" s="241">
        <v>48.1083476454181</v>
      </c>
      <c r="Y87" s="241">
        <v>60.126182803533403</v>
      </c>
      <c r="Z87" s="241">
        <v>65.322719528293106</v>
      </c>
      <c r="AA87" s="241">
        <v>36.650873874031703</v>
      </c>
      <c r="AB87" s="241">
        <v>53.865245756906702</v>
      </c>
      <c r="AC87" s="241">
        <v>58.366255757774198</v>
      </c>
      <c r="AD87" s="241">
        <v>29.378483028695001</v>
      </c>
      <c r="AE87" s="241">
        <v>12.16411114582</v>
      </c>
      <c r="AF87" s="241">
        <v>2.8115269838458001</v>
      </c>
      <c r="AG87" s="241">
        <v>7.2697294461515396</v>
      </c>
      <c r="AH87" s="241">
        <v>21.0505338175277</v>
      </c>
      <c r="AI87" s="241">
        <v>31.900579466250601</v>
      </c>
      <c r="AJ87" s="241">
        <v>8.6850953513248292</v>
      </c>
      <c r="AK87" s="241">
        <v>13.780804371376201</v>
      </c>
      <c r="AL87" s="241">
        <v>78.949466182472307</v>
      </c>
      <c r="AM87" s="241">
        <v>10.850045648722899</v>
      </c>
      <c r="AN87" s="241">
        <v>47.578318219290999</v>
      </c>
      <c r="AO87" s="241">
        <v>59.594322525260097</v>
      </c>
      <c r="AP87" s="241">
        <v>64.838006649724406</v>
      </c>
      <c r="AQ87" s="241">
        <v>36.728272570568201</v>
      </c>
      <c r="AR87" s="241">
        <v>53.987961001001601</v>
      </c>
      <c r="AS87" s="241">
        <v>31.371147963181201</v>
      </c>
      <c r="AT87" s="249">
        <v>14.1114595327478</v>
      </c>
    </row>
    <row r="88" spans="1:46" x14ac:dyDescent="0.4">
      <c r="A88" s="247" t="s">
        <v>475</v>
      </c>
      <c r="B88" s="248">
        <v>376</v>
      </c>
      <c r="C88" s="249" t="s">
        <v>476</v>
      </c>
      <c r="D88" s="249" t="s">
        <v>477</v>
      </c>
      <c r="E88" s="249" t="s">
        <v>478</v>
      </c>
      <c r="F88" s="247">
        <v>5.4341367796610172</v>
      </c>
      <c r="G88" s="250" t="e">
        <f t="shared" si="3"/>
        <v>#N/A</v>
      </c>
      <c r="H88" s="250" t="e">
        <f t="shared" si="4"/>
        <v>#N/A</v>
      </c>
      <c r="I88" s="247">
        <v>1.6639999999999999</v>
      </c>
      <c r="J88" s="247">
        <v>21.3</v>
      </c>
      <c r="K88" s="247">
        <v>5</v>
      </c>
      <c r="L88" s="247">
        <v>2.1</v>
      </c>
      <c r="M88" s="247">
        <v>4</v>
      </c>
      <c r="N88" s="250">
        <v>3998.623</v>
      </c>
      <c r="O88" s="250">
        <v>4065.413</v>
      </c>
      <c r="P88" s="249">
        <v>4.42752417519731</v>
      </c>
      <c r="Q88" s="249">
        <v>10.673774446853299</v>
      </c>
      <c r="R88" s="249">
        <v>28.8219969724578</v>
      </c>
      <c r="S88" s="249">
        <v>44.158176452243701</v>
      </c>
      <c r="T88" s="249">
        <v>11.3013404864625</v>
      </c>
      <c r="U88" s="249">
        <v>18.1482225256044</v>
      </c>
      <c r="V88" s="249">
        <v>71.178003027542204</v>
      </c>
      <c r="W88" s="249">
        <v>15.336179479785899</v>
      </c>
      <c r="X88" s="249">
        <v>47.737308568474702</v>
      </c>
      <c r="Y88" s="249">
        <v>56.802979425667303</v>
      </c>
      <c r="Z88" s="249">
        <v>61.190489826122601</v>
      </c>
      <c r="AA88" s="249">
        <v>32.401129088688798</v>
      </c>
      <c r="AB88" s="249">
        <v>45.854310346336703</v>
      </c>
      <c r="AC88" s="249">
        <v>49.5226981888515</v>
      </c>
      <c r="AD88" s="249">
        <v>23.440694459067501</v>
      </c>
      <c r="AE88" s="249">
        <v>9.9875132014195902</v>
      </c>
      <c r="AF88" s="249">
        <v>4.1379313737620302</v>
      </c>
      <c r="AG88" s="249">
        <v>9.96324358681394</v>
      </c>
      <c r="AH88" s="249">
        <v>26.861157771670399</v>
      </c>
      <c r="AI88" s="249">
        <v>41.174955656411797</v>
      </c>
      <c r="AJ88" s="249">
        <v>10.5230145129166</v>
      </c>
      <c r="AK88" s="249">
        <v>16.8979141848565</v>
      </c>
      <c r="AL88" s="249">
        <v>73.138842228329594</v>
      </c>
      <c r="AM88" s="249">
        <v>14.313797884741399</v>
      </c>
      <c r="AN88" s="249">
        <v>46.316179930550703</v>
      </c>
      <c r="AO88" s="249">
        <v>55.853734909589797</v>
      </c>
      <c r="AP88" s="249">
        <v>60.668891450880899</v>
      </c>
      <c r="AQ88" s="249">
        <v>32.002382045809398</v>
      </c>
      <c r="AR88" s="249">
        <v>46.355093566139502</v>
      </c>
      <c r="AS88" s="249">
        <v>26.822662297778901</v>
      </c>
      <c r="AT88" s="241">
        <v>12.4699507774487</v>
      </c>
    </row>
    <row r="89" spans="1:46" x14ac:dyDescent="0.4">
      <c r="A89" s="251" t="s">
        <v>479</v>
      </c>
      <c r="B89" s="252">
        <v>380</v>
      </c>
      <c r="C89" s="253" t="s">
        <v>480</v>
      </c>
      <c r="D89" s="253" t="s">
        <v>196</v>
      </c>
      <c r="E89" s="253" t="s">
        <v>197</v>
      </c>
      <c r="F89" s="251">
        <v>1.2617355060728741</v>
      </c>
      <c r="G89" s="254" t="e">
        <f t="shared" si="3"/>
        <v>#N/A</v>
      </c>
      <c r="H89" s="254" t="e">
        <f t="shared" si="4"/>
        <v>#N/A</v>
      </c>
      <c r="I89" s="251">
        <v>7.0000000000000007E-2</v>
      </c>
      <c r="J89" s="251">
        <v>8.5</v>
      </c>
      <c r="K89" s="251">
        <v>4</v>
      </c>
      <c r="L89" s="251">
        <v>2.1</v>
      </c>
      <c r="M89" s="251">
        <v>3.5</v>
      </c>
      <c r="N89" s="254">
        <v>29069.71</v>
      </c>
      <c r="O89" s="254">
        <v>30727.974999999999</v>
      </c>
      <c r="P89" s="241">
        <v>1.7229446045385399</v>
      </c>
      <c r="Q89" s="241">
        <v>4.5554118014937197</v>
      </c>
      <c r="R89" s="241">
        <v>14.5079397076889</v>
      </c>
      <c r="S89" s="241">
        <v>24.622495374050899</v>
      </c>
      <c r="T89" s="241">
        <v>5.98717703066181</v>
      </c>
      <c r="U89" s="241">
        <v>9.9525279061951508</v>
      </c>
      <c r="V89" s="241">
        <v>85.492060292311095</v>
      </c>
      <c r="W89" s="241">
        <v>10.114555666362</v>
      </c>
      <c r="X89" s="241">
        <v>44.679197006093297</v>
      </c>
      <c r="Y89" s="241">
        <v>59.517332646249301</v>
      </c>
      <c r="Z89" s="241">
        <v>65.657964940138697</v>
      </c>
      <c r="AA89" s="241">
        <v>34.564641339731303</v>
      </c>
      <c r="AB89" s="241">
        <v>55.543409273776703</v>
      </c>
      <c r="AC89" s="241">
        <v>61.490389825010297</v>
      </c>
      <c r="AD89" s="241">
        <v>40.812863286217897</v>
      </c>
      <c r="AE89" s="241">
        <v>19.834095352172401</v>
      </c>
      <c r="AF89" s="241">
        <v>1.5335797428890099</v>
      </c>
      <c r="AG89" s="241">
        <v>4.0551744786306303</v>
      </c>
      <c r="AH89" s="241">
        <v>12.9558651359226</v>
      </c>
      <c r="AI89" s="241">
        <v>22.040349225746201</v>
      </c>
      <c r="AJ89" s="241">
        <v>5.3461804756089499</v>
      </c>
      <c r="AK89" s="241">
        <v>8.9006906572919302</v>
      </c>
      <c r="AL89" s="241">
        <v>87.044134864077407</v>
      </c>
      <c r="AM89" s="241">
        <v>9.0844840898236896</v>
      </c>
      <c r="AN89" s="241">
        <v>41.380094197551301</v>
      </c>
      <c r="AO89" s="241">
        <v>55.941668788782899</v>
      </c>
      <c r="AP89" s="241">
        <v>62.197482912557703</v>
      </c>
      <c r="AQ89" s="241">
        <v>32.295610107727597</v>
      </c>
      <c r="AR89" s="241">
        <v>53.112998822733999</v>
      </c>
      <c r="AS89" s="241">
        <v>45.664040666526198</v>
      </c>
      <c r="AT89" s="249">
        <v>24.8466519515197</v>
      </c>
    </row>
    <row r="90" spans="1:46" x14ac:dyDescent="0.4">
      <c r="A90" s="247" t="s">
        <v>481</v>
      </c>
      <c r="B90" s="248">
        <v>388</v>
      </c>
      <c r="C90" s="249" t="s">
        <v>482</v>
      </c>
      <c r="D90" s="249" t="s">
        <v>483</v>
      </c>
      <c r="E90" s="249" t="s">
        <v>484</v>
      </c>
      <c r="F90" s="247">
        <v>1</v>
      </c>
      <c r="G90" s="250" t="e">
        <f t="shared" si="3"/>
        <v>#N/A</v>
      </c>
      <c r="H90" s="250" t="e">
        <f t="shared" si="4"/>
        <v>#N/A</v>
      </c>
      <c r="I90" s="247">
        <v>0.376</v>
      </c>
      <c r="J90" s="247">
        <v>13.54</v>
      </c>
      <c r="K90" s="247">
        <v>89</v>
      </c>
      <c r="L90" s="247">
        <v>11.6</v>
      </c>
      <c r="M90" s="247">
        <v>15.7</v>
      </c>
      <c r="N90" s="250">
        <v>1391.039</v>
      </c>
      <c r="O90" s="250">
        <v>1402.296</v>
      </c>
      <c r="P90" s="249">
        <v>2.9647623107619498</v>
      </c>
      <c r="Q90" s="249">
        <v>7.51646790636351</v>
      </c>
      <c r="R90" s="249">
        <v>24.187819320666101</v>
      </c>
      <c r="S90" s="249">
        <v>43.8485908734406</v>
      </c>
      <c r="T90" s="249">
        <v>9.6191408005095393</v>
      </c>
      <c r="U90" s="249">
        <v>16.671351414302499</v>
      </c>
      <c r="V90" s="249">
        <v>75.812180679333906</v>
      </c>
      <c r="W90" s="249">
        <v>19.660771552774602</v>
      </c>
      <c r="X90" s="249">
        <v>53.660968527841398</v>
      </c>
      <c r="Y90" s="249">
        <v>63.439702265716498</v>
      </c>
      <c r="Z90" s="249">
        <v>67.176477438806501</v>
      </c>
      <c r="AA90" s="249">
        <v>34.0001969750668</v>
      </c>
      <c r="AB90" s="249">
        <v>47.515705886031903</v>
      </c>
      <c r="AC90" s="249">
        <v>50.348336746848901</v>
      </c>
      <c r="AD90" s="249">
        <v>22.151212151492501</v>
      </c>
      <c r="AE90" s="249">
        <v>8.6357032405274001</v>
      </c>
      <c r="AF90" s="249">
        <v>2.7375817944285599</v>
      </c>
      <c r="AG90" s="249">
        <v>7.0723299503100598</v>
      </c>
      <c r="AH90" s="249">
        <v>22.9737516187738</v>
      </c>
      <c r="AI90" s="249">
        <v>41.852076879631703</v>
      </c>
      <c r="AJ90" s="249">
        <v>9.2308613873247793</v>
      </c>
      <c r="AK90" s="249">
        <v>15.9014216684637</v>
      </c>
      <c r="AL90" s="249">
        <v>77.026248381226196</v>
      </c>
      <c r="AM90" s="249">
        <v>18.878325260857899</v>
      </c>
      <c r="AN90" s="249">
        <v>53.8162413641627</v>
      </c>
      <c r="AO90" s="249">
        <v>63.846220769366802</v>
      </c>
      <c r="AP90" s="249">
        <v>67.388197641582096</v>
      </c>
      <c r="AQ90" s="249">
        <v>34.9379161033049</v>
      </c>
      <c r="AR90" s="249">
        <v>48.509872380724197</v>
      </c>
      <c r="AS90" s="249">
        <v>23.210007017063401</v>
      </c>
      <c r="AT90" s="241">
        <v>9.63805073964412</v>
      </c>
    </row>
    <row r="91" spans="1:46" x14ac:dyDescent="0.4">
      <c r="A91" s="251" t="s">
        <v>485</v>
      </c>
      <c r="B91" s="252">
        <v>392</v>
      </c>
      <c r="C91" s="253" t="s">
        <v>486</v>
      </c>
      <c r="D91" s="253" t="s">
        <v>487</v>
      </c>
      <c r="E91" s="253" t="s">
        <v>488</v>
      </c>
      <c r="F91" s="251">
        <v>169.39677118644079</v>
      </c>
      <c r="G91" s="254" t="e">
        <f t="shared" si="3"/>
        <v>#N/A</v>
      </c>
      <c r="H91" s="254" t="e">
        <f t="shared" si="4"/>
        <v>#N/A</v>
      </c>
      <c r="I91" s="251">
        <v>-0.11799999999999999</v>
      </c>
      <c r="J91" s="251">
        <v>8.1999999999999993</v>
      </c>
      <c r="K91" s="251">
        <v>5</v>
      </c>
      <c r="L91" s="251">
        <v>0.9</v>
      </c>
      <c r="M91" s="251">
        <v>2.7</v>
      </c>
      <c r="N91" s="254">
        <v>61558.578000000001</v>
      </c>
      <c r="O91" s="254">
        <v>65014.902999999998</v>
      </c>
      <c r="P91" s="241">
        <v>1.7463138930857001</v>
      </c>
      <c r="Q91" s="241">
        <v>4.3954442872283401</v>
      </c>
      <c r="R91" s="241">
        <v>13.5572689804498</v>
      </c>
      <c r="S91" s="241">
        <v>23.595158419676299</v>
      </c>
      <c r="T91" s="241">
        <v>5.4150519851189598</v>
      </c>
      <c r="U91" s="241">
        <v>9.1618246932214706</v>
      </c>
      <c r="V91" s="241">
        <v>86.442731019550195</v>
      </c>
      <c r="W91" s="241">
        <v>10.0378894392265</v>
      </c>
      <c r="X91" s="241">
        <v>43.785405504331202</v>
      </c>
      <c r="Y91" s="241">
        <v>56.252451120622098</v>
      </c>
      <c r="Z91" s="241">
        <v>63.034955095941299</v>
      </c>
      <c r="AA91" s="241">
        <v>33.747516065104698</v>
      </c>
      <c r="AB91" s="241">
        <v>52.997065656714803</v>
      </c>
      <c r="AC91" s="241">
        <v>60.375432973776597</v>
      </c>
      <c r="AD91" s="241">
        <v>42.657325515219</v>
      </c>
      <c r="AE91" s="241">
        <v>23.407775923608899</v>
      </c>
      <c r="AF91" s="241">
        <v>1.56666233894097</v>
      </c>
      <c r="AG91" s="241">
        <v>3.94258067261902</v>
      </c>
      <c r="AH91" s="241">
        <v>12.191031031762099</v>
      </c>
      <c r="AI91" s="241">
        <v>21.255675794825098</v>
      </c>
      <c r="AJ91" s="241">
        <v>4.8687913907985099</v>
      </c>
      <c r="AK91" s="241">
        <v>8.2484503591430407</v>
      </c>
      <c r="AL91" s="241">
        <v>87.808968968237906</v>
      </c>
      <c r="AM91" s="241">
        <v>9.0646447630630202</v>
      </c>
      <c r="AN91" s="241">
        <v>40.108802438726997</v>
      </c>
      <c r="AO91" s="241">
        <v>51.989420025744003</v>
      </c>
      <c r="AP91" s="241">
        <v>58.688708648846301</v>
      </c>
      <c r="AQ91" s="241">
        <v>31.044157675664</v>
      </c>
      <c r="AR91" s="241">
        <v>49.624063885783201</v>
      </c>
      <c r="AS91" s="241">
        <v>47.700166529511002</v>
      </c>
      <c r="AT91" s="249">
        <v>29.120260319391701</v>
      </c>
    </row>
    <row r="92" spans="1:46" x14ac:dyDescent="0.4">
      <c r="A92" s="247" t="s">
        <v>489</v>
      </c>
      <c r="B92" s="248">
        <v>400</v>
      </c>
      <c r="C92" s="249" t="s">
        <v>490</v>
      </c>
      <c r="D92" s="249" t="s">
        <v>491</v>
      </c>
      <c r="E92" s="249" t="s">
        <v>492</v>
      </c>
      <c r="F92" s="247">
        <v>1</v>
      </c>
      <c r="G92" s="250" t="e">
        <f t="shared" si="3"/>
        <v>#N/A</v>
      </c>
      <c r="H92" s="250" t="e">
        <f t="shared" si="4"/>
        <v>#N/A</v>
      </c>
      <c r="I92" s="247">
        <v>3.0579999999999998</v>
      </c>
      <c r="J92" s="247">
        <v>27.045999999999999</v>
      </c>
      <c r="K92" s="247">
        <v>58</v>
      </c>
      <c r="L92" s="247">
        <v>10.6</v>
      </c>
      <c r="M92" s="247">
        <v>17.899999999999999</v>
      </c>
      <c r="N92" s="250">
        <v>3889.0140000000001</v>
      </c>
      <c r="O92" s="250">
        <v>3705.5329999999999</v>
      </c>
      <c r="P92" s="249">
        <v>5.2987981015239303</v>
      </c>
      <c r="Q92" s="249">
        <v>12.871720184087801</v>
      </c>
      <c r="R92" s="249">
        <v>35.366162220038298</v>
      </c>
      <c r="S92" s="249">
        <v>54.279748028677702</v>
      </c>
      <c r="T92" s="249">
        <v>13.956570997173101</v>
      </c>
      <c r="U92" s="249">
        <v>22.494442035950499</v>
      </c>
      <c r="V92" s="249">
        <v>64.633837779961695</v>
      </c>
      <c r="W92" s="249">
        <v>18.9135858086394</v>
      </c>
      <c r="X92" s="249">
        <v>53.497878896810398</v>
      </c>
      <c r="Y92" s="249">
        <v>59.4804235726588</v>
      </c>
      <c r="Z92" s="249">
        <v>61.101785696837297</v>
      </c>
      <c r="AA92" s="249">
        <v>34.584293088170902</v>
      </c>
      <c r="AB92" s="249">
        <v>42.1881998881979</v>
      </c>
      <c r="AC92" s="249">
        <v>43.478655515253998</v>
      </c>
      <c r="AD92" s="249">
        <v>11.1359588831514</v>
      </c>
      <c r="AE92" s="249">
        <v>3.5320520831244102</v>
      </c>
      <c r="AF92" s="249">
        <v>5.3141073092588798</v>
      </c>
      <c r="AG92" s="249">
        <v>12.9487984589531</v>
      </c>
      <c r="AH92" s="249">
        <v>35.692571082216801</v>
      </c>
      <c r="AI92" s="249">
        <v>54.747589618011801</v>
      </c>
      <c r="AJ92" s="249">
        <v>14.119642167537</v>
      </c>
      <c r="AK92" s="249">
        <v>22.743772623263599</v>
      </c>
      <c r="AL92" s="249">
        <v>64.307428917783199</v>
      </c>
      <c r="AM92" s="249">
        <v>19.055018535795</v>
      </c>
      <c r="AN92" s="249">
        <v>52.589438550405603</v>
      </c>
      <c r="AO92" s="249">
        <v>58.549984577117499</v>
      </c>
      <c r="AP92" s="249">
        <v>60.255110398423099</v>
      </c>
      <c r="AQ92" s="249">
        <v>33.534420014610603</v>
      </c>
      <c r="AR92" s="249">
        <v>41.200091862628099</v>
      </c>
      <c r="AS92" s="249">
        <v>11.7179903673777</v>
      </c>
      <c r="AT92" s="241">
        <v>4.0523185193601003</v>
      </c>
    </row>
    <row r="93" spans="1:46" x14ac:dyDescent="0.4">
      <c r="A93" s="251" t="s">
        <v>493</v>
      </c>
      <c r="B93" s="252">
        <v>398</v>
      </c>
      <c r="C93" s="253" t="s">
        <v>494</v>
      </c>
      <c r="D93" s="253" t="s">
        <v>495</v>
      </c>
      <c r="E93" s="253" t="s">
        <v>496</v>
      </c>
      <c r="F93" s="251">
        <v>308.42671848739508</v>
      </c>
      <c r="G93" s="254" t="e">
        <f t="shared" si="3"/>
        <v>#N/A</v>
      </c>
      <c r="H93" s="254" t="e">
        <f t="shared" si="4"/>
        <v>#N/A</v>
      </c>
      <c r="I93" s="251">
        <v>1.55</v>
      </c>
      <c r="J93" s="251">
        <v>22.73</v>
      </c>
      <c r="K93" s="251">
        <v>12</v>
      </c>
      <c r="L93" s="251">
        <v>7</v>
      </c>
      <c r="M93" s="251">
        <v>14.1</v>
      </c>
      <c r="N93" s="254">
        <v>8512.0589999999993</v>
      </c>
      <c r="O93" s="254">
        <v>9113.1669999999995</v>
      </c>
      <c r="P93" s="241">
        <v>4.7276340542282398</v>
      </c>
      <c r="Q93" s="241">
        <v>11.769573025750899</v>
      </c>
      <c r="R93" s="241">
        <v>28.419974532601302</v>
      </c>
      <c r="S93" s="241">
        <v>44.154263968330099</v>
      </c>
      <c r="T93" s="241">
        <v>11.3470900518899</v>
      </c>
      <c r="U93" s="241">
        <v>16.6504015068505</v>
      </c>
      <c r="V93" s="241">
        <v>71.580025467398698</v>
      </c>
      <c r="W93" s="241">
        <v>15.734289435728799</v>
      </c>
      <c r="X93" s="241">
        <v>52.515155263843901</v>
      </c>
      <c r="Y93" s="241">
        <v>63.233302306762702</v>
      </c>
      <c r="Z93" s="241">
        <v>66.647364638802401</v>
      </c>
      <c r="AA93" s="241">
        <v>36.780865828115203</v>
      </c>
      <c r="AB93" s="241">
        <v>50.913075203073703</v>
      </c>
      <c r="AC93" s="241">
        <v>52.674681883666501</v>
      </c>
      <c r="AD93" s="241">
        <v>19.064870203554701</v>
      </c>
      <c r="AE93" s="241">
        <v>4.9326608285962301</v>
      </c>
      <c r="AF93" s="241">
        <v>4.1849885994627298</v>
      </c>
      <c r="AG93" s="241">
        <v>10.387332965586999</v>
      </c>
      <c r="AH93" s="241">
        <v>25.127126497297802</v>
      </c>
      <c r="AI93" s="241">
        <v>39.392024748366801</v>
      </c>
      <c r="AJ93" s="241">
        <v>10.0117006524735</v>
      </c>
      <c r="AK93" s="241">
        <v>14.7397935317108</v>
      </c>
      <c r="AL93" s="241">
        <v>74.872873502702205</v>
      </c>
      <c r="AM93" s="241">
        <v>14.264898251069001</v>
      </c>
      <c r="AN93" s="241">
        <v>50.243521269828598</v>
      </c>
      <c r="AO93" s="241">
        <v>62.020711350949703</v>
      </c>
      <c r="AP93" s="241">
        <v>66.452990491669894</v>
      </c>
      <c r="AQ93" s="241">
        <v>35.978623018759599</v>
      </c>
      <c r="AR93" s="241">
        <v>52.188092240600902</v>
      </c>
      <c r="AS93" s="241">
        <v>24.6293522328736</v>
      </c>
      <c r="AT93" s="249">
        <v>8.4198830110322795</v>
      </c>
    </row>
    <row r="94" spans="1:46" x14ac:dyDescent="0.4">
      <c r="A94" s="247" t="s">
        <v>497</v>
      </c>
      <c r="B94" s="248">
        <v>404</v>
      </c>
      <c r="C94" s="249" t="s">
        <v>498</v>
      </c>
      <c r="D94" s="249" t="s">
        <v>499</v>
      </c>
      <c r="E94" s="249" t="s">
        <v>500</v>
      </c>
      <c r="F94" s="247">
        <v>1</v>
      </c>
      <c r="G94" s="250" t="e">
        <f t="shared" si="3"/>
        <v>#N/A</v>
      </c>
      <c r="H94" s="250" t="e">
        <f t="shared" si="4"/>
        <v>#N/A</v>
      </c>
      <c r="I94" s="247">
        <v>2.6539999999999999</v>
      </c>
      <c r="J94" s="247">
        <v>35.194000000000003</v>
      </c>
      <c r="K94" s="247">
        <v>510</v>
      </c>
      <c r="L94" s="247">
        <v>22.2</v>
      </c>
      <c r="M94" s="247">
        <v>49.4</v>
      </c>
      <c r="N94" s="250">
        <v>23016.937000000002</v>
      </c>
      <c r="O94" s="250">
        <v>23033.365000000002</v>
      </c>
      <c r="P94" s="249">
        <v>6.4323024388518801</v>
      </c>
      <c r="Q94" s="249">
        <v>15.6984224269285</v>
      </c>
      <c r="R94" s="249">
        <v>42.204468822241701</v>
      </c>
      <c r="S94" s="249">
        <v>61.713389579160797</v>
      </c>
      <c r="T94" s="249">
        <v>16.7999808141283</v>
      </c>
      <c r="U94" s="249">
        <v>26.506046395313199</v>
      </c>
      <c r="V94" s="249">
        <v>57.795531177758399</v>
      </c>
      <c r="W94" s="249">
        <v>19.5089207569191</v>
      </c>
      <c r="X94" s="249">
        <v>49.124798838351097</v>
      </c>
      <c r="Y94" s="249">
        <v>53.623807546590598</v>
      </c>
      <c r="Z94" s="249">
        <v>55.240695145492197</v>
      </c>
      <c r="AA94" s="249">
        <v>29.615878081432001</v>
      </c>
      <c r="AB94" s="249">
        <v>35.731774388573101</v>
      </c>
      <c r="AC94" s="249">
        <v>36.834201701121202</v>
      </c>
      <c r="AD94" s="249">
        <v>8.6707323394072908</v>
      </c>
      <c r="AE94" s="249">
        <v>2.5548360322661501</v>
      </c>
      <c r="AF94" s="249">
        <v>6.3081490698384703</v>
      </c>
      <c r="AG94" s="249">
        <v>15.426287040560499</v>
      </c>
      <c r="AH94" s="249">
        <v>41.613867535203802</v>
      </c>
      <c r="AI94" s="249">
        <v>61.020358944513802</v>
      </c>
      <c r="AJ94" s="249">
        <v>16.586747094920799</v>
      </c>
      <c r="AK94" s="249">
        <v>26.187580494643299</v>
      </c>
      <c r="AL94" s="249">
        <v>58.386132464796198</v>
      </c>
      <c r="AM94" s="249">
        <v>19.406491409309901</v>
      </c>
      <c r="AN94" s="249">
        <v>48.517253123892203</v>
      </c>
      <c r="AO94" s="249">
        <v>53.482676109200703</v>
      </c>
      <c r="AP94" s="249">
        <v>55.336256773597803</v>
      </c>
      <c r="AQ94" s="249">
        <v>29.110761714582299</v>
      </c>
      <c r="AR94" s="249">
        <v>35.929765364287803</v>
      </c>
      <c r="AS94" s="249">
        <v>9.8688793409039395</v>
      </c>
      <c r="AT94" s="241">
        <v>3.0498756911984</v>
      </c>
    </row>
    <row r="95" spans="1:46" x14ac:dyDescent="0.4">
      <c r="A95" s="251" t="s">
        <v>501</v>
      </c>
      <c r="B95" s="252">
        <v>296</v>
      </c>
      <c r="C95" s="253" t="s">
        <v>502</v>
      </c>
      <c r="D95" s="253" t="s">
        <v>216</v>
      </c>
      <c r="E95" s="253" t="s">
        <v>217</v>
      </c>
      <c r="F95" s="251">
        <v>1.8631010330578528</v>
      </c>
      <c r="G95" s="254" t="e">
        <f t="shared" si="3"/>
        <v>#N/A</v>
      </c>
      <c r="H95" s="254" t="e">
        <f t="shared" si="4"/>
        <v>#N/A</v>
      </c>
      <c r="I95" s="251">
        <v>1.819</v>
      </c>
      <c r="J95" s="251">
        <v>29.044</v>
      </c>
      <c r="K95" s="251">
        <v>90</v>
      </c>
      <c r="L95" s="251">
        <v>23.7</v>
      </c>
      <c r="M95" s="251">
        <v>55.9</v>
      </c>
      <c r="N95" s="254">
        <v>55.423999999999999</v>
      </c>
      <c r="O95" s="254">
        <v>56.999000000000002</v>
      </c>
      <c r="P95" s="241">
        <v>5.27208429561201</v>
      </c>
      <c r="Q95" s="241">
        <v>13.587976327944601</v>
      </c>
      <c r="R95" s="241">
        <v>36.280311778291001</v>
      </c>
      <c r="S95" s="241">
        <v>56.715502309468803</v>
      </c>
      <c r="T95" s="241">
        <v>14.737297921478101</v>
      </c>
      <c r="U95" s="241">
        <v>22.692335450346398</v>
      </c>
      <c r="V95" s="241">
        <v>63.719688221708999</v>
      </c>
      <c r="W95" s="241">
        <v>20.435190531177799</v>
      </c>
      <c r="X95" s="241">
        <v>51.290054849884598</v>
      </c>
      <c r="Y95" s="241">
        <v>58.541426096997697</v>
      </c>
      <c r="Z95" s="241">
        <v>60.701140300231003</v>
      </c>
      <c r="AA95" s="241">
        <v>30.854864318706699</v>
      </c>
      <c r="AB95" s="241">
        <v>40.265949769053101</v>
      </c>
      <c r="AC95" s="241">
        <v>41.626371247113198</v>
      </c>
      <c r="AD95" s="241">
        <v>12.429633371824499</v>
      </c>
      <c r="AE95" s="241">
        <v>3.0185479214780599</v>
      </c>
      <c r="AF95" s="241">
        <v>4.8035930454920299</v>
      </c>
      <c r="AG95" s="241">
        <v>12.677415393252501</v>
      </c>
      <c r="AH95" s="241">
        <v>33.649713152862297</v>
      </c>
      <c r="AI95" s="241">
        <v>52.874611835295397</v>
      </c>
      <c r="AJ95" s="241">
        <v>13.8423481113704</v>
      </c>
      <c r="AK95" s="241">
        <v>20.972297759609798</v>
      </c>
      <c r="AL95" s="241">
        <v>66.350286847137696</v>
      </c>
      <c r="AM95" s="241">
        <v>19.224898682433</v>
      </c>
      <c r="AN95" s="241">
        <v>51.430726854857099</v>
      </c>
      <c r="AO95" s="241">
        <v>59.418586290987598</v>
      </c>
      <c r="AP95" s="241">
        <v>61.980034737451497</v>
      </c>
      <c r="AQ95" s="241">
        <v>32.205828172424098</v>
      </c>
      <c r="AR95" s="241">
        <v>42.755136055018497</v>
      </c>
      <c r="AS95" s="241">
        <v>14.9195599922806</v>
      </c>
      <c r="AT95" s="249">
        <v>4.37025210968614</v>
      </c>
    </row>
    <row r="96" spans="1:46" x14ac:dyDescent="0.4">
      <c r="A96" s="247" t="s">
        <v>503</v>
      </c>
      <c r="B96" s="248">
        <v>414</v>
      </c>
      <c r="C96" s="249" t="s">
        <v>504</v>
      </c>
      <c r="D96" s="249" t="s">
        <v>505</v>
      </c>
      <c r="E96" s="249" t="s">
        <v>506</v>
      </c>
      <c r="F96" s="247">
        <v>0.42095800862068999</v>
      </c>
      <c r="G96" s="250" t="e">
        <f t="shared" si="3"/>
        <v>#N/A</v>
      </c>
      <c r="H96" s="250" t="e">
        <f t="shared" si="4"/>
        <v>#N/A</v>
      </c>
      <c r="I96" s="247">
        <v>4.8140000000000001</v>
      </c>
      <c r="J96" s="247">
        <v>20.574999999999999</v>
      </c>
      <c r="K96" s="247">
        <v>4</v>
      </c>
      <c r="L96" s="247">
        <v>3.2</v>
      </c>
      <c r="M96" s="247">
        <v>8.6</v>
      </c>
      <c r="N96" s="250">
        <v>2186.4360000000001</v>
      </c>
      <c r="O96" s="250">
        <v>1705.6790000000001</v>
      </c>
      <c r="P96" s="249">
        <v>3.3007597752689799</v>
      </c>
      <c r="Q96" s="249">
        <v>8.1137979799088598</v>
      </c>
      <c r="R96" s="249">
        <v>20.3994994593942</v>
      </c>
      <c r="S96" s="249">
        <v>32.4989617807244</v>
      </c>
      <c r="T96" s="249">
        <v>8.0634877947490793</v>
      </c>
      <c r="U96" s="249">
        <v>12.285701479485301</v>
      </c>
      <c r="V96" s="249">
        <v>79.600500540605793</v>
      </c>
      <c r="W96" s="249">
        <v>12.099462321330201</v>
      </c>
      <c r="X96" s="249">
        <v>68.398937814781704</v>
      </c>
      <c r="Y96" s="249">
        <v>76.193906430373502</v>
      </c>
      <c r="Z96" s="249">
        <v>77.613385436390601</v>
      </c>
      <c r="AA96" s="249">
        <v>56.299475493451503</v>
      </c>
      <c r="AB96" s="249">
        <v>65.513923115060294</v>
      </c>
      <c r="AC96" s="249">
        <v>66.443975492536694</v>
      </c>
      <c r="AD96" s="249">
        <v>11.2015627258241</v>
      </c>
      <c r="AE96" s="249">
        <v>1.9871151042152599</v>
      </c>
      <c r="AF96" s="249">
        <v>3.9361450777080602</v>
      </c>
      <c r="AG96" s="249">
        <v>9.9943776056338898</v>
      </c>
      <c r="AH96" s="249">
        <v>24.7911828661782</v>
      </c>
      <c r="AI96" s="249">
        <v>39.897190503019601</v>
      </c>
      <c r="AJ96" s="249">
        <v>10.0440352493054</v>
      </c>
      <c r="AK96" s="249">
        <v>14.7968052605443</v>
      </c>
      <c r="AL96" s="249">
        <v>75.208817133821796</v>
      </c>
      <c r="AM96" s="249">
        <v>15.106007636841399</v>
      </c>
      <c r="AN96" s="249">
        <v>64.917783475085301</v>
      </c>
      <c r="AO96" s="249">
        <v>71.757288446419295</v>
      </c>
      <c r="AP96" s="249">
        <v>73.260502122615094</v>
      </c>
      <c r="AQ96" s="249">
        <v>49.811775838243904</v>
      </c>
      <c r="AR96" s="249">
        <v>58.154494485773697</v>
      </c>
      <c r="AS96" s="249">
        <v>10.291033658736501</v>
      </c>
      <c r="AT96" s="241">
        <v>1.94831501120668</v>
      </c>
    </row>
    <row r="97" spans="1:46" x14ac:dyDescent="0.4">
      <c r="A97" s="251" t="s">
        <v>507</v>
      </c>
      <c r="B97" s="252">
        <v>417</v>
      </c>
      <c r="C97" s="253" t="s">
        <v>508</v>
      </c>
      <c r="D97" s="253" t="s">
        <v>509</v>
      </c>
      <c r="E97" s="253" t="s">
        <v>510</v>
      </c>
      <c r="F97" s="251">
        <v>1</v>
      </c>
      <c r="G97" s="254" t="e">
        <f t="shared" si="3"/>
        <v>#N/A</v>
      </c>
      <c r="H97" s="254" t="e">
        <f t="shared" si="4"/>
        <v>#N/A</v>
      </c>
      <c r="I97" s="251">
        <v>1.6679999999999999</v>
      </c>
      <c r="J97" s="251">
        <v>27.2</v>
      </c>
      <c r="K97" s="251">
        <v>76</v>
      </c>
      <c r="L97" s="251">
        <v>11.5</v>
      </c>
      <c r="M97" s="251">
        <v>21.3</v>
      </c>
      <c r="N97" s="254">
        <v>2940.1770000000001</v>
      </c>
      <c r="O97" s="254">
        <v>2999.7849999999999</v>
      </c>
      <c r="P97" s="241">
        <v>5.8413490072196304</v>
      </c>
      <c r="Q97" s="241">
        <v>13.6278190054544</v>
      </c>
      <c r="R97" s="241">
        <v>32.423728231327601</v>
      </c>
      <c r="S97" s="241">
        <v>51.313237264287203</v>
      </c>
      <c r="T97" s="241">
        <v>12.196646664469499</v>
      </c>
      <c r="U97" s="241">
        <v>18.7959092258731</v>
      </c>
      <c r="V97" s="241">
        <v>67.576271768672399</v>
      </c>
      <c r="W97" s="241">
        <v>18.889509032959602</v>
      </c>
      <c r="X97" s="241">
        <v>53.033473835078603</v>
      </c>
      <c r="Y97" s="241">
        <v>61.692204244846501</v>
      </c>
      <c r="Z97" s="241">
        <v>64.242730964836497</v>
      </c>
      <c r="AA97" s="241">
        <v>34.1439648021191</v>
      </c>
      <c r="AB97" s="241">
        <v>45.353221931876902</v>
      </c>
      <c r="AC97" s="241">
        <v>46.4990032912985</v>
      </c>
      <c r="AD97" s="241">
        <v>14.5427979335938</v>
      </c>
      <c r="AE97" s="241">
        <v>3.3335408038359602</v>
      </c>
      <c r="AF97" s="241">
        <v>5.3874861031707297</v>
      </c>
      <c r="AG97" s="241">
        <v>12.657107092675</v>
      </c>
      <c r="AH97" s="241">
        <v>30.3998786579705</v>
      </c>
      <c r="AI97" s="241">
        <v>48.219955763496401</v>
      </c>
      <c r="AJ97" s="241">
        <v>11.514325193305501</v>
      </c>
      <c r="AK97" s="241">
        <v>17.742771565295499</v>
      </c>
      <c r="AL97" s="241">
        <v>69.600121342029496</v>
      </c>
      <c r="AM97" s="241">
        <v>17.8200771055259</v>
      </c>
      <c r="AN97" s="241">
        <v>51.827147612245497</v>
      </c>
      <c r="AO97" s="241">
        <v>61.370698233373403</v>
      </c>
      <c r="AP97" s="241">
        <v>64.497722336767495</v>
      </c>
      <c r="AQ97" s="241">
        <v>34.0070705067196</v>
      </c>
      <c r="AR97" s="241">
        <v>46.677645231241598</v>
      </c>
      <c r="AS97" s="241">
        <v>17.772973729783999</v>
      </c>
      <c r="AT97" s="249">
        <v>5.1023990052620398</v>
      </c>
    </row>
    <row r="98" spans="1:46" x14ac:dyDescent="0.4">
      <c r="A98" s="247" t="s">
        <v>511</v>
      </c>
      <c r="B98" s="248">
        <v>418</v>
      </c>
      <c r="C98" s="249" t="s">
        <v>512</v>
      </c>
      <c r="D98" s="249" t="s">
        <v>513</v>
      </c>
      <c r="E98" s="249" t="s">
        <v>514</v>
      </c>
      <c r="F98" s="247">
        <v>1</v>
      </c>
      <c r="G98" s="250" t="e">
        <f t="shared" si="3"/>
        <v>#N/A</v>
      </c>
      <c r="H98" s="250" t="e">
        <f t="shared" si="4"/>
        <v>#N/A</v>
      </c>
      <c r="I98" s="247">
        <v>1.659</v>
      </c>
      <c r="J98" s="247">
        <v>27.050999999999998</v>
      </c>
      <c r="K98" s="247">
        <v>197</v>
      </c>
      <c r="L98" s="247">
        <v>30.1</v>
      </c>
      <c r="M98" s="247">
        <v>66.7</v>
      </c>
      <c r="N98" s="250">
        <v>3385.328</v>
      </c>
      <c r="O98" s="250">
        <v>3416.6950000000002</v>
      </c>
      <c r="P98" s="249">
        <v>5.0491119324331404</v>
      </c>
      <c r="Q98" s="249">
        <v>12.654401582357799</v>
      </c>
      <c r="R98" s="249">
        <v>35.630373186881698</v>
      </c>
      <c r="S98" s="249">
        <v>58.215009003558897</v>
      </c>
      <c r="T98" s="249">
        <v>14.2482500957071</v>
      </c>
      <c r="U98" s="249">
        <v>22.975971604523998</v>
      </c>
      <c r="V98" s="249">
        <v>64.369626813118302</v>
      </c>
      <c r="W98" s="249">
        <v>22.5846358166771</v>
      </c>
      <c r="X98" s="249">
        <v>52.987893639848203</v>
      </c>
      <c r="Y98" s="249">
        <v>58.950979048411199</v>
      </c>
      <c r="Z98" s="249">
        <v>61.034292688921099</v>
      </c>
      <c r="AA98" s="249">
        <v>30.403257823171099</v>
      </c>
      <c r="AB98" s="249">
        <v>38.449656872243999</v>
      </c>
      <c r="AC98" s="249">
        <v>39.822551906344103</v>
      </c>
      <c r="AD98" s="249">
        <v>11.381733173270099</v>
      </c>
      <c r="AE98" s="249">
        <v>3.3353341241971202</v>
      </c>
      <c r="AF98" s="249">
        <v>4.7941065854575804</v>
      </c>
      <c r="AG98" s="249">
        <v>12.0118125849688</v>
      </c>
      <c r="AH98" s="249">
        <v>33.9167528854639</v>
      </c>
      <c r="AI98" s="249">
        <v>55.738074367188197</v>
      </c>
      <c r="AJ98" s="249">
        <v>13.5525705396589</v>
      </c>
      <c r="AK98" s="249">
        <v>21.904940300495099</v>
      </c>
      <c r="AL98" s="249">
        <v>66.083247114536107</v>
      </c>
      <c r="AM98" s="249">
        <v>21.821321481724301</v>
      </c>
      <c r="AN98" s="249">
        <v>53.021179824362399</v>
      </c>
      <c r="AO98" s="249">
        <v>59.528433178846797</v>
      </c>
      <c r="AP98" s="249">
        <v>61.801770424342799</v>
      </c>
      <c r="AQ98" s="249">
        <v>31.199858342638102</v>
      </c>
      <c r="AR98" s="249">
        <v>39.980448942618501</v>
      </c>
      <c r="AS98" s="249">
        <v>13.062067290173699</v>
      </c>
      <c r="AT98" s="241">
        <v>4.2814766901933003</v>
      </c>
    </row>
    <row r="99" spans="1:46" x14ac:dyDescent="0.4">
      <c r="A99" s="251" t="s">
        <v>515</v>
      </c>
      <c r="B99" s="252">
        <v>428</v>
      </c>
      <c r="C99" s="253" t="s">
        <v>516</v>
      </c>
      <c r="D99" s="253" t="s">
        <v>517</v>
      </c>
      <c r="E99" s="253" t="s">
        <v>518</v>
      </c>
      <c r="F99" s="251">
        <v>1</v>
      </c>
      <c r="G99" s="254" t="e">
        <f t="shared" si="3"/>
        <v>#N/A</v>
      </c>
      <c r="H99" s="254" t="e">
        <f t="shared" si="4"/>
        <v>#N/A</v>
      </c>
      <c r="I99" s="251">
        <v>-1.1819999999999999</v>
      </c>
      <c r="J99" s="251">
        <v>10.199999999999999</v>
      </c>
      <c r="K99" s="251">
        <v>18</v>
      </c>
      <c r="L99" s="251">
        <v>5.2</v>
      </c>
      <c r="M99" s="251">
        <v>7.9</v>
      </c>
      <c r="N99" s="254">
        <v>903.99</v>
      </c>
      <c r="O99" s="254">
        <v>1066.5129999999999</v>
      </c>
      <c r="P99" s="241">
        <v>1.9274549497229001</v>
      </c>
      <c r="Q99" s="241">
        <v>5.4277149083507599</v>
      </c>
      <c r="R99" s="241">
        <v>16.680715494640399</v>
      </c>
      <c r="S99" s="241">
        <v>28.395446852288199</v>
      </c>
      <c r="T99" s="241">
        <v>7.1871370258520599</v>
      </c>
      <c r="U99" s="241">
        <v>11.2530005862897</v>
      </c>
      <c r="V99" s="241">
        <v>83.319284505359605</v>
      </c>
      <c r="W99" s="241">
        <v>11.7147313576478</v>
      </c>
      <c r="X99" s="241">
        <v>48.957068109160502</v>
      </c>
      <c r="Y99" s="241">
        <v>63.784555138884301</v>
      </c>
      <c r="Z99" s="241">
        <v>69.55331364285</v>
      </c>
      <c r="AA99" s="241">
        <v>37.242336751512703</v>
      </c>
      <c r="AB99" s="241">
        <v>57.8385822852023</v>
      </c>
      <c r="AC99" s="241">
        <v>61.965176605935902</v>
      </c>
      <c r="AD99" s="241">
        <v>34.362216396199102</v>
      </c>
      <c r="AE99" s="241">
        <v>13.7659708625095</v>
      </c>
      <c r="AF99" s="241">
        <v>1.5179374278607001</v>
      </c>
      <c r="AG99" s="241">
        <v>4.3165906088345798</v>
      </c>
      <c r="AH99" s="241">
        <v>13.431528729607599</v>
      </c>
      <c r="AI99" s="241">
        <v>22.733149994421101</v>
      </c>
      <c r="AJ99" s="241">
        <v>5.8194321119386299</v>
      </c>
      <c r="AK99" s="241">
        <v>9.1149381207730205</v>
      </c>
      <c r="AL99" s="241">
        <v>86.568471270392394</v>
      </c>
      <c r="AM99" s="241">
        <v>9.3016212648134609</v>
      </c>
      <c r="AN99" s="241">
        <v>40.926739758446402</v>
      </c>
      <c r="AO99" s="241">
        <v>55.721683655051599</v>
      </c>
      <c r="AP99" s="241">
        <v>62.4524970628581</v>
      </c>
      <c r="AQ99" s="241">
        <v>31.625118493633</v>
      </c>
      <c r="AR99" s="241">
        <v>53.150875798044702</v>
      </c>
      <c r="AS99" s="241">
        <v>45.641731511945899</v>
      </c>
      <c r="AT99" s="249">
        <v>24.1159742075343</v>
      </c>
    </row>
    <row r="100" spans="1:46" x14ac:dyDescent="0.4">
      <c r="A100" s="247" t="s">
        <v>519</v>
      </c>
      <c r="B100" s="248">
        <v>422</v>
      </c>
      <c r="C100" s="249" t="s">
        <v>520</v>
      </c>
      <c r="D100" s="249" t="s">
        <v>521</v>
      </c>
      <c r="E100" s="249" t="s">
        <v>522</v>
      </c>
      <c r="F100" s="247">
        <v>1</v>
      </c>
      <c r="G100" s="250" t="e">
        <f t="shared" si="3"/>
        <v>#N/A</v>
      </c>
      <c r="H100" s="250" t="e">
        <f t="shared" si="4"/>
        <v>#N/A</v>
      </c>
      <c r="I100" s="247">
        <v>5.9870000000000001</v>
      </c>
      <c r="J100" s="247">
        <v>13.426</v>
      </c>
      <c r="K100" s="247">
        <v>15</v>
      </c>
      <c r="L100" s="247">
        <v>4.8</v>
      </c>
      <c r="M100" s="247">
        <v>8.3000000000000007</v>
      </c>
      <c r="N100" s="250">
        <v>2938.529</v>
      </c>
      <c r="O100" s="250">
        <v>2912.2139999999999</v>
      </c>
      <c r="P100" s="249">
        <v>3.4101075742318701</v>
      </c>
      <c r="Q100" s="249">
        <v>7.9478201508305704</v>
      </c>
      <c r="R100" s="249">
        <v>23.808783238143999</v>
      </c>
      <c r="S100" s="249">
        <v>42.529374391064401</v>
      </c>
      <c r="T100" s="249">
        <v>9.0214866009489807</v>
      </c>
      <c r="U100" s="249">
        <v>15.860963087313401</v>
      </c>
      <c r="V100" s="249">
        <v>76.191216761855998</v>
      </c>
      <c r="W100" s="249">
        <v>18.720591152920399</v>
      </c>
      <c r="X100" s="249">
        <v>54.210082663808997</v>
      </c>
      <c r="Y100" s="249">
        <v>64.913397145306305</v>
      </c>
      <c r="Z100" s="249">
        <v>68.154610691267607</v>
      </c>
      <c r="AA100" s="249">
        <v>35.489491510888598</v>
      </c>
      <c r="AB100" s="249">
        <v>49.434019538347201</v>
      </c>
      <c r="AC100" s="249">
        <v>52.253117120845097</v>
      </c>
      <c r="AD100" s="249">
        <v>21.981134098047001</v>
      </c>
      <c r="AE100" s="249">
        <v>8.0366060705883804</v>
      </c>
      <c r="AF100" s="249">
        <v>3.3237598610541701</v>
      </c>
      <c r="AG100" s="249">
        <v>7.8148103127036697</v>
      </c>
      <c r="AH100" s="249">
        <v>24.1789580023996</v>
      </c>
      <c r="AI100" s="249">
        <v>44.419709540576299</v>
      </c>
      <c r="AJ100" s="249">
        <v>9.2062945923616901</v>
      </c>
      <c r="AK100" s="249">
        <v>16.364147689695901</v>
      </c>
      <c r="AL100" s="249">
        <v>75.821041997600403</v>
      </c>
      <c r="AM100" s="249">
        <v>20.240751538176799</v>
      </c>
      <c r="AN100" s="249">
        <v>55.970543373529601</v>
      </c>
      <c r="AO100" s="249">
        <v>64.1835043715881</v>
      </c>
      <c r="AP100" s="249">
        <v>67.585417829871005</v>
      </c>
      <c r="AQ100" s="249">
        <v>35.729791835352799</v>
      </c>
      <c r="AR100" s="249">
        <v>47.344666291694203</v>
      </c>
      <c r="AS100" s="249">
        <v>19.850498624070902</v>
      </c>
      <c r="AT100" s="241">
        <v>8.23562416772943</v>
      </c>
    </row>
    <row r="101" spans="1:46" x14ac:dyDescent="0.4">
      <c r="A101" s="251" t="s">
        <v>523</v>
      </c>
      <c r="B101" s="252">
        <v>426</v>
      </c>
      <c r="C101" s="253" t="s">
        <v>524</v>
      </c>
      <c r="D101" s="253" t="s">
        <v>525</v>
      </c>
      <c r="E101" s="253" t="s">
        <v>526</v>
      </c>
      <c r="F101" s="251">
        <v>1</v>
      </c>
      <c r="G101" s="254" t="e">
        <f t="shared" si="3"/>
        <v>#N/A</v>
      </c>
      <c r="H101" s="254" t="e">
        <f t="shared" si="4"/>
        <v>#N/A</v>
      </c>
      <c r="I101" s="251">
        <v>1.2010000000000001</v>
      </c>
      <c r="J101" s="251">
        <v>28.738</v>
      </c>
      <c r="K101" s="251">
        <v>487</v>
      </c>
      <c r="L101" s="251">
        <v>32.700000000000003</v>
      </c>
      <c r="M101" s="251">
        <v>90.2</v>
      </c>
      <c r="N101" s="254">
        <v>1056.7750000000001</v>
      </c>
      <c r="O101" s="254">
        <v>1078.2470000000001</v>
      </c>
      <c r="P101" s="241">
        <v>5.5650445932199402</v>
      </c>
      <c r="Q101" s="241">
        <v>13.274254216838999</v>
      </c>
      <c r="R101" s="241">
        <v>36.725982351967097</v>
      </c>
      <c r="S101" s="241">
        <v>60.069740484019803</v>
      </c>
      <c r="T101" s="241">
        <v>14.1849494925599</v>
      </c>
      <c r="U101" s="241">
        <v>23.4517281351281</v>
      </c>
      <c r="V101" s="241">
        <v>63.274017648032903</v>
      </c>
      <c r="W101" s="241">
        <v>23.343758132052699</v>
      </c>
      <c r="X101" s="241">
        <v>54.935535000354797</v>
      </c>
      <c r="Y101" s="241">
        <v>58.399470085874498</v>
      </c>
      <c r="Z101" s="241">
        <v>60.022521350334699</v>
      </c>
      <c r="AA101" s="241">
        <v>31.591776868302102</v>
      </c>
      <c r="AB101" s="241">
        <v>36.678763218282</v>
      </c>
      <c r="AC101" s="241">
        <v>37.9780937285609</v>
      </c>
      <c r="AD101" s="241">
        <v>8.3384826476780702</v>
      </c>
      <c r="AE101" s="241">
        <v>3.25149629769819</v>
      </c>
      <c r="AF101" s="241">
        <v>5.3632423739644004</v>
      </c>
      <c r="AG101" s="241">
        <v>12.8093099262043</v>
      </c>
      <c r="AH101" s="241">
        <v>35.432326730331702</v>
      </c>
      <c r="AI101" s="241">
        <v>57.736678145174501</v>
      </c>
      <c r="AJ101" s="241">
        <v>13.7019625373407</v>
      </c>
      <c r="AK101" s="241">
        <v>22.623016804127399</v>
      </c>
      <c r="AL101" s="241">
        <v>64.567673269668205</v>
      </c>
      <c r="AM101" s="241">
        <v>22.304351414842799</v>
      </c>
      <c r="AN101" s="241">
        <v>51.448786780765403</v>
      </c>
      <c r="AO101" s="241">
        <v>56.998442842873601</v>
      </c>
      <c r="AP101" s="241">
        <v>59.552310370443799</v>
      </c>
      <c r="AQ101" s="241">
        <v>29.1444353659226</v>
      </c>
      <c r="AR101" s="241">
        <v>37.247958955601099</v>
      </c>
      <c r="AS101" s="241">
        <v>13.118886488902801</v>
      </c>
      <c r="AT101" s="249">
        <v>5.0153628992243897</v>
      </c>
    </row>
    <row r="102" spans="1:46" x14ac:dyDescent="0.4">
      <c r="A102" s="247" t="s">
        <v>527</v>
      </c>
      <c r="B102" s="248">
        <v>430</v>
      </c>
      <c r="C102" s="249" t="s">
        <v>528</v>
      </c>
      <c r="D102" s="249" t="s">
        <v>529</v>
      </c>
      <c r="E102" s="249" t="s">
        <v>530</v>
      </c>
      <c r="F102" s="247">
        <v>1</v>
      </c>
      <c r="G102" s="250" t="e">
        <f t="shared" ref="G102:G133" si="5">VLOOKUP($B102,pop_lookup,MATCH(baseline_year,year_lookup,0),FALSE)</f>
        <v>#N/A</v>
      </c>
      <c r="H102" s="250" t="e">
        <f t="shared" si="4"/>
        <v>#N/A</v>
      </c>
      <c r="I102" s="247">
        <v>2.5819999999999999</v>
      </c>
      <c r="J102" s="247">
        <v>35.521000000000001</v>
      </c>
      <c r="K102" s="247">
        <v>725</v>
      </c>
      <c r="L102" s="247">
        <v>24.1</v>
      </c>
      <c r="M102" s="247">
        <v>69.900000000000006</v>
      </c>
      <c r="N102" s="250">
        <v>2269.7950000000001</v>
      </c>
      <c r="O102" s="250">
        <v>2233.643</v>
      </c>
      <c r="P102" s="249">
        <v>6.4826118658292904</v>
      </c>
      <c r="Q102" s="249">
        <v>15.7703669274097</v>
      </c>
      <c r="R102" s="249">
        <v>42.833075233666499</v>
      </c>
      <c r="S102" s="249">
        <v>62.240995332177597</v>
      </c>
      <c r="T102" s="249">
        <v>17.017572071486601</v>
      </c>
      <c r="U102" s="249">
        <v>27.062708306256699</v>
      </c>
      <c r="V102" s="249">
        <v>57.166924766333501</v>
      </c>
      <c r="W102" s="249">
        <v>19.407920098511099</v>
      </c>
      <c r="X102" s="249">
        <v>47.589584081381801</v>
      </c>
      <c r="Y102" s="249">
        <v>52.728065750431199</v>
      </c>
      <c r="Z102" s="249">
        <v>54.406983890615599</v>
      </c>
      <c r="AA102" s="249">
        <v>28.181663982870699</v>
      </c>
      <c r="AB102" s="249">
        <v>34.9990637921046</v>
      </c>
      <c r="AC102" s="249">
        <v>36.1756017613925</v>
      </c>
      <c r="AD102" s="249">
        <v>9.5773406849517198</v>
      </c>
      <c r="AE102" s="249">
        <v>2.7599408757178501</v>
      </c>
      <c r="AF102" s="249">
        <v>6.3158705307876</v>
      </c>
      <c r="AG102" s="249">
        <v>15.3636906166294</v>
      </c>
      <c r="AH102" s="249">
        <v>41.769835197477903</v>
      </c>
      <c r="AI102" s="249">
        <v>60.899167861650298</v>
      </c>
      <c r="AJ102" s="249">
        <v>16.588102933190299</v>
      </c>
      <c r="AK102" s="249">
        <v>26.406144580848402</v>
      </c>
      <c r="AL102" s="249">
        <v>58.230164802522197</v>
      </c>
      <c r="AM102" s="249">
        <v>19.129332664172399</v>
      </c>
      <c r="AN102" s="249">
        <v>47.446212308770903</v>
      </c>
      <c r="AO102" s="249">
        <v>53.019887242500303</v>
      </c>
      <c r="AP102" s="249">
        <v>54.963170032095498</v>
      </c>
      <c r="AQ102" s="249">
        <v>28.316879644598501</v>
      </c>
      <c r="AR102" s="249">
        <v>35.833837367923202</v>
      </c>
      <c r="AS102" s="249">
        <v>10.783952493751199</v>
      </c>
      <c r="AT102" s="241">
        <v>3.26699477042661</v>
      </c>
    </row>
    <row r="103" spans="1:46" x14ac:dyDescent="0.4">
      <c r="A103" s="251" t="s">
        <v>531</v>
      </c>
      <c r="B103" s="252">
        <v>434</v>
      </c>
      <c r="C103" s="253" t="s">
        <v>532</v>
      </c>
      <c r="D103" s="253" t="s">
        <v>533</v>
      </c>
      <c r="E103" s="253" t="s">
        <v>534</v>
      </c>
      <c r="F103" s="251">
        <v>1.9323999999999879</v>
      </c>
      <c r="G103" s="254" t="e">
        <f t="shared" si="5"/>
        <v>#N/A</v>
      </c>
      <c r="H103" s="254" t="e">
        <f t="shared" si="4"/>
        <v>#N/A</v>
      </c>
      <c r="I103" s="251">
        <v>4.1000000000000002E-2</v>
      </c>
      <c r="J103" s="251">
        <v>21.425000000000001</v>
      </c>
      <c r="K103" s="251">
        <v>9</v>
      </c>
      <c r="L103" s="251">
        <v>7.2</v>
      </c>
      <c r="M103" s="251">
        <v>13.4</v>
      </c>
      <c r="N103" s="254">
        <v>3156.7449999999999</v>
      </c>
      <c r="O103" s="254">
        <v>3121.6930000000002</v>
      </c>
      <c r="P103" s="241">
        <v>4.0826864380873298</v>
      </c>
      <c r="Q103" s="241">
        <v>10.5411111762274</v>
      </c>
      <c r="R103" s="241">
        <v>30.420734015576201</v>
      </c>
      <c r="S103" s="241">
        <v>46.332757318060203</v>
      </c>
      <c r="T103" s="241">
        <v>12.5174507285194</v>
      </c>
      <c r="U103" s="241">
        <v>19.879622839348801</v>
      </c>
      <c r="V103" s="241">
        <v>69.579265984423898</v>
      </c>
      <c r="W103" s="241">
        <v>15.912023302484</v>
      </c>
      <c r="X103" s="241">
        <v>55.264362499980201</v>
      </c>
      <c r="Y103" s="241">
        <v>62.998309968020898</v>
      </c>
      <c r="Z103" s="241">
        <v>65.424828422948295</v>
      </c>
      <c r="AA103" s="241">
        <v>39.3523391974962</v>
      </c>
      <c r="AB103" s="241">
        <v>49.5128051204643</v>
      </c>
      <c r="AC103" s="241">
        <v>51.117591062946197</v>
      </c>
      <c r="AD103" s="241">
        <v>14.314903484443599</v>
      </c>
      <c r="AE103" s="241">
        <v>4.1544375614755102</v>
      </c>
      <c r="AF103" s="241">
        <v>3.9094811693526599</v>
      </c>
      <c r="AG103" s="241">
        <v>10.1305925983112</v>
      </c>
      <c r="AH103" s="241">
        <v>29.238365207597301</v>
      </c>
      <c r="AI103" s="241">
        <v>45.183527015628997</v>
      </c>
      <c r="AJ103" s="241">
        <v>12.046411995029599</v>
      </c>
      <c r="AK103" s="241">
        <v>19.107772609286101</v>
      </c>
      <c r="AL103" s="241">
        <v>70.761634792402702</v>
      </c>
      <c r="AM103" s="241">
        <v>15.945161808031701</v>
      </c>
      <c r="AN103" s="241">
        <v>55.580641658228402</v>
      </c>
      <c r="AO103" s="241">
        <v>63.341462469243503</v>
      </c>
      <c r="AP103" s="241">
        <v>65.830368328980498</v>
      </c>
      <c r="AQ103" s="241">
        <v>39.635479850196703</v>
      </c>
      <c r="AR103" s="241">
        <v>49.885206520948699</v>
      </c>
      <c r="AS103" s="241">
        <v>15.180993134174299</v>
      </c>
      <c r="AT103" s="249">
        <v>4.9312664634222498</v>
      </c>
    </row>
    <row r="104" spans="1:46" x14ac:dyDescent="0.4">
      <c r="A104" s="247" t="s">
        <v>535</v>
      </c>
      <c r="B104" s="248">
        <v>438</v>
      </c>
      <c r="C104" s="249" t="s">
        <v>536</v>
      </c>
      <c r="D104" s="249" t="s">
        <v>537</v>
      </c>
      <c r="E104" s="249" t="s">
        <v>538</v>
      </c>
      <c r="F104" s="247">
        <v>1.3464726720647777</v>
      </c>
      <c r="G104" s="250" t="e">
        <f t="shared" si="5"/>
        <v>#N/A</v>
      </c>
      <c r="H104" s="250" t="e">
        <f t="shared" si="4"/>
        <v>#N/A</v>
      </c>
      <c r="I104" s="247">
        <v>0.68</v>
      </c>
      <c r="J104" s="247">
        <v>9.1999999999999993</v>
      </c>
      <c r="K104" s="247">
        <v>0</v>
      </c>
      <c r="L104" s="247">
        <v>0</v>
      </c>
      <c r="M104" s="247">
        <v>0</v>
      </c>
      <c r="N104" s="250" t="e">
        <v>#N/A</v>
      </c>
      <c r="O104" s="250" t="e">
        <v>#N/A</v>
      </c>
      <c r="P104" s="249" t="e">
        <v>#N/A</v>
      </c>
      <c r="Q104" s="249" t="e">
        <v>#N/A</v>
      </c>
      <c r="R104" s="249" t="e">
        <v>#N/A</v>
      </c>
      <c r="S104" s="249" t="e">
        <v>#N/A</v>
      </c>
      <c r="T104" s="249" t="e">
        <v>#N/A</v>
      </c>
      <c r="U104" s="249" t="e">
        <v>#N/A</v>
      </c>
      <c r="V104" s="249" t="e">
        <v>#N/A</v>
      </c>
      <c r="W104" s="249" t="e">
        <v>#N/A</v>
      </c>
      <c r="X104" s="249" t="e">
        <v>#N/A</v>
      </c>
      <c r="Y104" s="249" t="e">
        <v>#N/A</v>
      </c>
      <c r="Z104" s="249" t="e">
        <v>#N/A</v>
      </c>
      <c r="AA104" s="249" t="e">
        <v>#N/A</v>
      </c>
      <c r="AB104" s="249" t="e">
        <v>#N/A</v>
      </c>
      <c r="AC104" s="249" t="e">
        <v>#N/A</v>
      </c>
      <c r="AD104" s="249" t="e">
        <v>#N/A</v>
      </c>
      <c r="AE104" s="249" t="e">
        <v>#N/A</v>
      </c>
      <c r="AF104" s="249" t="e">
        <v>#N/A</v>
      </c>
      <c r="AG104" s="249" t="e">
        <v>#N/A</v>
      </c>
      <c r="AH104" s="249" t="e">
        <v>#N/A</v>
      </c>
      <c r="AI104" s="249" t="e">
        <v>#N/A</v>
      </c>
      <c r="AJ104" s="249" t="e">
        <v>#N/A</v>
      </c>
      <c r="AK104" s="249" t="e">
        <v>#N/A</v>
      </c>
      <c r="AL104" s="249" t="e">
        <v>#N/A</v>
      </c>
      <c r="AM104" s="249" t="e">
        <v>#N/A</v>
      </c>
      <c r="AN104" s="249" t="e">
        <v>#N/A</v>
      </c>
      <c r="AO104" s="249" t="e">
        <v>#N/A</v>
      </c>
      <c r="AP104" s="249" t="e">
        <v>#N/A</v>
      </c>
      <c r="AQ104" s="249" t="e">
        <v>#N/A</v>
      </c>
      <c r="AR104" s="249" t="e">
        <v>#N/A</v>
      </c>
      <c r="AS104" s="249" t="e">
        <v>#N/A</v>
      </c>
      <c r="AT104" s="241" t="e">
        <v>#N/A</v>
      </c>
    </row>
    <row r="105" spans="1:46" x14ac:dyDescent="0.4">
      <c r="A105" s="251" t="s">
        <v>539</v>
      </c>
      <c r="B105" s="252">
        <v>440</v>
      </c>
      <c r="C105" s="253" t="s">
        <v>540</v>
      </c>
      <c r="D105" s="253" t="s">
        <v>541</v>
      </c>
      <c r="E105" s="253" t="s">
        <v>542</v>
      </c>
      <c r="F105" s="251">
        <v>1</v>
      </c>
      <c r="G105" s="254" t="e">
        <f t="shared" si="5"/>
        <v>#N/A</v>
      </c>
      <c r="H105" s="254" t="e">
        <f t="shared" si="4"/>
        <v>#N/A</v>
      </c>
      <c r="I105" s="251">
        <v>-1.63</v>
      </c>
      <c r="J105" s="251">
        <v>10.1</v>
      </c>
      <c r="K105" s="251">
        <v>10</v>
      </c>
      <c r="L105" s="251">
        <v>2.5</v>
      </c>
      <c r="M105" s="251">
        <v>5.2</v>
      </c>
      <c r="N105" s="254">
        <v>1325.24</v>
      </c>
      <c r="O105" s="254">
        <v>1553.165</v>
      </c>
      <c r="P105" s="241">
        <v>2.4781171712293601</v>
      </c>
      <c r="Q105" s="241">
        <v>5.87825601400501</v>
      </c>
      <c r="R105" s="241">
        <v>16.152395037879899</v>
      </c>
      <c r="S105" s="241">
        <v>30.442636805408799</v>
      </c>
      <c r="T105" s="241">
        <v>6.1282484682019902</v>
      </c>
      <c r="U105" s="241">
        <v>10.2741390238749</v>
      </c>
      <c r="V105" s="241">
        <v>83.847604962120101</v>
      </c>
      <c r="W105" s="241">
        <v>14.290241767528901</v>
      </c>
      <c r="X105" s="241">
        <v>48.9810147595907</v>
      </c>
      <c r="Y105" s="241">
        <v>64.471718330264693</v>
      </c>
      <c r="Z105" s="241">
        <v>70.144653043976902</v>
      </c>
      <c r="AA105" s="241">
        <v>34.690772992061802</v>
      </c>
      <c r="AB105" s="241">
        <v>55.854411276447998</v>
      </c>
      <c r="AC105" s="241">
        <v>59.741933536566997</v>
      </c>
      <c r="AD105" s="241">
        <v>34.866590202529402</v>
      </c>
      <c r="AE105" s="241">
        <v>13.7029519181431</v>
      </c>
      <c r="AF105" s="241">
        <v>1.98736129129874</v>
      </c>
      <c r="AG105" s="241">
        <v>4.7647867419108696</v>
      </c>
      <c r="AH105" s="241">
        <v>13.1176661848548</v>
      </c>
      <c r="AI105" s="241">
        <v>24.506346717831001</v>
      </c>
      <c r="AJ105" s="241">
        <v>5.0177540699153003</v>
      </c>
      <c r="AK105" s="241">
        <v>8.3528794429439195</v>
      </c>
      <c r="AL105" s="241">
        <v>86.882333815145202</v>
      </c>
      <c r="AM105" s="241">
        <v>11.388680532976201</v>
      </c>
      <c r="AN105" s="241">
        <v>41.668077763791999</v>
      </c>
      <c r="AO105" s="241">
        <v>57.108871240338303</v>
      </c>
      <c r="AP105" s="241">
        <v>63.644686816918998</v>
      </c>
      <c r="AQ105" s="241">
        <v>30.2793972308158</v>
      </c>
      <c r="AR105" s="241">
        <v>52.256006283942803</v>
      </c>
      <c r="AS105" s="241">
        <v>45.214256051353203</v>
      </c>
      <c r="AT105" s="249">
        <v>23.2376469982262</v>
      </c>
    </row>
    <row r="106" spans="1:46" x14ac:dyDescent="0.4">
      <c r="A106" s="247" t="s">
        <v>543</v>
      </c>
      <c r="B106" s="248">
        <v>442</v>
      </c>
      <c r="C106" s="249" t="s">
        <v>544</v>
      </c>
      <c r="D106" s="249" t="s">
        <v>196</v>
      </c>
      <c r="E106" s="249" t="s">
        <v>197</v>
      </c>
      <c r="F106" s="247">
        <v>1.2617355060728741</v>
      </c>
      <c r="G106" s="250" t="e">
        <f t="shared" si="5"/>
        <v>#N/A</v>
      </c>
      <c r="H106" s="250" t="e">
        <f t="shared" si="4"/>
        <v>#N/A</v>
      </c>
      <c r="I106" s="247">
        <v>2.206</v>
      </c>
      <c r="J106" s="247">
        <v>11.3</v>
      </c>
      <c r="K106" s="247">
        <v>10</v>
      </c>
      <c r="L106" s="247">
        <v>0.9</v>
      </c>
      <c r="M106" s="247">
        <v>1.9</v>
      </c>
      <c r="N106" s="250">
        <v>284.61500000000001</v>
      </c>
      <c r="O106" s="250">
        <v>282.495</v>
      </c>
      <c r="P106" s="249">
        <v>2.3944626952198602</v>
      </c>
      <c r="Q106" s="249">
        <v>5.7456564130492103</v>
      </c>
      <c r="R106" s="249">
        <v>16.799184863763301</v>
      </c>
      <c r="S106" s="249">
        <v>29.461201974597302</v>
      </c>
      <c r="T106" s="249">
        <v>6.4979006728387496</v>
      </c>
      <c r="U106" s="249">
        <v>11.053528450714101</v>
      </c>
      <c r="V106" s="249">
        <v>83.200815136236699</v>
      </c>
      <c r="W106" s="249">
        <v>12.662017110833901</v>
      </c>
      <c r="X106" s="249">
        <v>51.612529206120598</v>
      </c>
      <c r="Y106" s="249">
        <v>65.716142859652507</v>
      </c>
      <c r="Z106" s="249">
        <v>70.882420111378494</v>
      </c>
      <c r="AA106" s="249">
        <v>38.950512095286598</v>
      </c>
      <c r="AB106" s="249">
        <v>58.2204030005446</v>
      </c>
      <c r="AC106" s="249">
        <v>62.392354584263003</v>
      </c>
      <c r="AD106" s="249">
        <v>31.588285930116101</v>
      </c>
      <c r="AE106" s="249">
        <v>12.3183950248581</v>
      </c>
      <c r="AF106" s="249">
        <v>2.2457034637781201</v>
      </c>
      <c r="AG106" s="249">
        <v>5.4620435759925003</v>
      </c>
      <c r="AH106" s="249">
        <v>16.065417087028099</v>
      </c>
      <c r="AI106" s="249">
        <v>28.0882847484026</v>
      </c>
      <c r="AJ106" s="249">
        <v>6.2687835182923601</v>
      </c>
      <c r="AK106" s="249">
        <v>10.603373511035601</v>
      </c>
      <c r="AL106" s="249">
        <v>83.934582912971905</v>
      </c>
      <c r="AM106" s="249">
        <v>12.0228676613745</v>
      </c>
      <c r="AN106" s="249">
        <v>49.711322324288901</v>
      </c>
      <c r="AO106" s="249">
        <v>63.183773164126798</v>
      </c>
      <c r="AP106" s="249">
        <v>68.2776686313032</v>
      </c>
      <c r="AQ106" s="249">
        <v>37.688454662914403</v>
      </c>
      <c r="AR106" s="249">
        <v>56.254800969928702</v>
      </c>
      <c r="AS106" s="249">
        <v>34.223260588682997</v>
      </c>
      <c r="AT106" s="241">
        <v>15.656914281668699</v>
      </c>
    </row>
    <row r="107" spans="1:46" x14ac:dyDescent="0.4">
      <c r="A107" s="251" t="s">
        <v>545</v>
      </c>
      <c r="B107" s="252">
        <v>450</v>
      </c>
      <c r="C107" s="253" t="s">
        <v>546</v>
      </c>
      <c r="D107" s="253" t="s">
        <v>547</v>
      </c>
      <c r="E107" s="253" t="s">
        <v>548</v>
      </c>
      <c r="F107" s="251">
        <v>1</v>
      </c>
      <c r="G107" s="254" t="e">
        <f t="shared" si="5"/>
        <v>#N/A</v>
      </c>
      <c r="H107" s="254" t="e">
        <f t="shared" si="4"/>
        <v>#N/A</v>
      </c>
      <c r="I107" s="251">
        <v>2.79</v>
      </c>
      <c r="J107" s="251">
        <v>34.686</v>
      </c>
      <c r="K107" s="251">
        <v>353</v>
      </c>
      <c r="L107" s="251">
        <v>19.7</v>
      </c>
      <c r="M107" s="251">
        <v>49.6</v>
      </c>
      <c r="N107" s="254">
        <v>12082.460999999999</v>
      </c>
      <c r="O107" s="254">
        <v>12152.929</v>
      </c>
      <c r="P107" s="241">
        <v>6.5989867461604099</v>
      </c>
      <c r="Q107" s="241">
        <v>15.787752180619499</v>
      </c>
      <c r="R107" s="241">
        <v>42.154938468247501</v>
      </c>
      <c r="S107" s="241">
        <v>62.714706879666302</v>
      </c>
      <c r="T107" s="241">
        <v>16.473581003075498</v>
      </c>
      <c r="U107" s="241">
        <v>26.367186287628002</v>
      </c>
      <c r="V107" s="241">
        <v>57.845061531752499</v>
      </c>
      <c r="W107" s="241">
        <v>20.559768411418801</v>
      </c>
      <c r="X107" s="241">
        <v>48.298397156009898</v>
      </c>
      <c r="Y107" s="241">
        <v>53.496998666083002</v>
      </c>
      <c r="Z107" s="241">
        <v>55.241014227151297</v>
      </c>
      <c r="AA107" s="241">
        <v>27.738628744591001</v>
      </c>
      <c r="AB107" s="241">
        <v>34.681245815732403</v>
      </c>
      <c r="AC107" s="241">
        <v>35.751466526562801</v>
      </c>
      <c r="AD107" s="241">
        <v>9.5466643757426599</v>
      </c>
      <c r="AE107" s="241">
        <v>2.60404730460127</v>
      </c>
      <c r="AF107" s="241">
        <v>6.3889536423688504</v>
      </c>
      <c r="AG107" s="241">
        <v>15.3261900896483</v>
      </c>
      <c r="AH107" s="241">
        <v>41.2663153055531</v>
      </c>
      <c r="AI107" s="241">
        <v>61.792864913470702</v>
      </c>
      <c r="AJ107" s="241">
        <v>16.1531347710498</v>
      </c>
      <c r="AK107" s="241">
        <v>25.9401252159047</v>
      </c>
      <c r="AL107" s="241">
        <v>58.7336846944469</v>
      </c>
      <c r="AM107" s="241">
        <v>20.526549607917602</v>
      </c>
      <c r="AN107" s="241">
        <v>48.276394933270801</v>
      </c>
      <c r="AO107" s="241">
        <v>53.771415927798202</v>
      </c>
      <c r="AP107" s="241">
        <v>55.663453641504901</v>
      </c>
      <c r="AQ107" s="241">
        <v>27.749845325353299</v>
      </c>
      <c r="AR107" s="241">
        <v>35.1369040335873</v>
      </c>
      <c r="AS107" s="241">
        <v>10.457289761176099</v>
      </c>
      <c r="AT107" s="249">
        <v>3.07023105294205</v>
      </c>
    </row>
    <row r="108" spans="1:46" x14ac:dyDescent="0.4">
      <c r="A108" s="247" t="s">
        <v>549</v>
      </c>
      <c r="B108" s="248">
        <v>454</v>
      </c>
      <c r="C108" s="249" t="s">
        <v>550</v>
      </c>
      <c r="D108" s="249" t="s">
        <v>551</v>
      </c>
      <c r="E108" s="249" t="s">
        <v>552</v>
      </c>
      <c r="F108" s="247">
        <v>665</v>
      </c>
      <c r="G108" s="250" t="e">
        <f t="shared" si="5"/>
        <v>#N/A</v>
      </c>
      <c r="H108" s="250" t="e">
        <f t="shared" si="4"/>
        <v>#N/A</v>
      </c>
      <c r="I108" s="247">
        <v>3.0640000000000001</v>
      </c>
      <c r="J108" s="247">
        <v>39.459000000000003</v>
      </c>
      <c r="K108" s="247">
        <v>634</v>
      </c>
      <c r="L108" s="247">
        <v>21.8</v>
      </c>
      <c r="M108" s="247">
        <v>64</v>
      </c>
      <c r="N108" s="250">
        <v>8593.0609999999997</v>
      </c>
      <c r="O108" s="250">
        <v>8622.1710000000003</v>
      </c>
      <c r="P108" s="249">
        <v>7.1483607529377498</v>
      </c>
      <c r="Q108" s="249">
        <v>17.381128796828001</v>
      </c>
      <c r="R108" s="249">
        <v>45.541524725589603</v>
      </c>
      <c r="S108" s="249">
        <v>66.159811969215596</v>
      </c>
      <c r="T108" s="249">
        <v>18.038705881408301</v>
      </c>
      <c r="U108" s="249">
        <v>28.160395928761599</v>
      </c>
      <c r="V108" s="249">
        <v>54.458475274410397</v>
      </c>
      <c r="W108" s="249">
        <v>20.618287243626</v>
      </c>
      <c r="X108" s="249">
        <v>46.599983405214999</v>
      </c>
      <c r="Y108" s="249">
        <v>50.127248020233999</v>
      </c>
      <c r="Z108" s="249">
        <v>51.489614701908899</v>
      </c>
      <c r="AA108" s="249">
        <v>25.981696161588999</v>
      </c>
      <c r="AB108" s="249">
        <v>30.871327458282899</v>
      </c>
      <c r="AC108" s="249">
        <v>32.134311626555402</v>
      </c>
      <c r="AD108" s="249">
        <v>7.8584918691953902</v>
      </c>
      <c r="AE108" s="249">
        <v>2.9688605725014598</v>
      </c>
      <c r="AF108" s="249">
        <v>6.9202756475138401</v>
      </c>
      <c r="AG108" s="249">
        <v>16.933368637666799</v>
      </c>
      <c r="AH108" s="249">
        <v>44.773735060462201</v>
      </c>
      <c r="AI108" s="249">
        <v>65.376771117158299</v>
      </c>
      <c r="AJ108" s="249">
        <v>17.814376448808499</v>
      </c>
      <c r="AK108" s="249">
        <v>27.840366422795402</v>
      </c>
      <c r="AL108" s="249">
        <v>55.226264939537899</v>
      </c>
      <c r="AM108" s="249">
        <v>20.603036056696201</v>
      </c>
      <c r="AN108" s="249">
        <v>45.935785778315001</v>
      </c>
      <c r="AO108" s="249">
        <v>49.691533605631399</v>
      </c>
      <c r="AP108" s="249">
        <v>51.313932419108902</v>
      </c>
      <c r="AQ108" s="249">
        <v>25.3327497216188</v>
      </c>
      <c r="AR108" s="249">
        <v>30.710896362412701</v>
      </c>
      <c r="AS108" s="249">
        <v>9.2904791612228603</v>
      </c>
      <c r="AT108" s="241">
        <v>3.91233252042902</v>
      </c>
    </row>
    <row r="109" spans="1:46" x14ac:dyDescent="0.4">
      <c r="A109" s="251" t="s">
        <v>553</v>
      </c>
      <c r="B109" s="252">
        <v>458</v>
      </c>
      <c r="C109" s="253" t="s">
        <v>554</v>
      </c>
      <c r="D109" s="253" t="s">
        <v>555</v>
      </c>
      <c r="E109" s="253" t="s">
        <v>556</v>
      </c>
      <c r="F109" s="251">
        <v>5.4657249572649604</v>
      </c>
      <c r="G109" s="254" t="e">
        <f t="shared" si="5"/>
        <v>#N/A</v>
      </c>
      <c r="H109" s="254" t="e">
        <f t="shared" si="4"/>
        <v>#N/A</v>
      </c>
      <c r="I109" s="251">
        <v>1.514</v>
      </c>
      <c r="J109" s="251">
        <v>16.805</v>
      </c>
      <c r="K109" s="251">
        <v>40</v>
      </c>
      <c r="L109" s="251">
        <v>3.9</v>
      </c>
      <c r="M109" s="251">
        <v>7</v>
      </c>
      <c r="N109" s="254">
        <v>15025.675999999999</v>
      </c>
      <c r="O109" s="254">
        <v>15305.331</v>
      </c>
      <c r="P109" s="241">
        <v>3.7005389973802201</v>
      </c>
      <c r="Q109" s="241">
        <v>8.4706338669887504</v>
      </c>
      <c r="R109" s="241">
        <v>24.506258487139</v>
      </c>
      <c r="S109" s="241">
        <v>43.070940701769402</v>
      </c>
      <c r="T109" s="241">
        <v>9.1802724882394706</v>
      </c>
      <c r="U109" s="241">
        <v>16.035624620150202</v>
      </c>
      <c r="V109" s="241">
        <v>75.493741512861106</v>
      </c>
      <c r="W109" s="241">
        <v>18.564682214630501</v>
      </c>
      <c r="X109" s="241">
        <v>57.188029343904397</v>
      </c>
      <c r="Y109" s="241">
        <v>66.424412452391493</v>
      </c>
      <c r="Z109" s="241">
        <v>69.643708542630606</v>
      </c>
      <c r="AA109" s="241">
        <v>38.623347129273903</v>
      </c>
      <c r="AB109" s="241">
        <v>51.079026328000097</v>
      </c>
      <c r="AC109" s="241">
        <v>53.505279895560101</v>
      </c>
      <c r="AD109" s="241">
        <v>18.305712168956699</v>
      </c>
      <c r="AE109" s="241">
        <v>5.8500329702304201</v>
      </c>
      <c r="AF109" s="241">
        <v>3.30165352190031</v>
      </c>
      <c r="AG109" s="241">
        <v>7.8659063302845302</v>
      </c>
      <c r="AH109" s="241">
        <v>24.5034818260383</v>
      </c>
      <c r="AI109" s="241">
        <v>43.411775936110097</v>
      </c>
      <c r="AJ109" s="241">
        <v>9.4682957199684203</v>
      </c>
      <c r="AK109" s="241">
        <v>16.637575495753701</v>
      </c>
      <c r="AL109" s="241">
        <v>75.496518173961704</v>
      </c>
      <c r="AM109" s="241">
        <v>18.9082941100718</v>
      </c>
      <c r="AN109" s="241">
        <v>56.294019384487697</v>
      </c>
      <c r="AO109" s="241">
        <v>66.204063146363794</v>
      </c>
      <c r="AP109" s="241">
        <v>69.635788994044006</v>
      </c>
      <c r="AQ109" s="241">
        <v>37.385725274415798</v>
      </c>
      <c r="AR109" s="241">
        <v>50.727494883972099</v>
      </c>
      <c r="AS109" s="241">
        <v>19.202498789474099</v>
      </c>
      <c r="AT109" s="249">
        <v>5.8607291799177696</v>
      </c>
    </row>
    <row r="110" spans="1:46" x14ac:dyDescent="0.4">
      <c r="A110" s="247" t="s">
        <v>557</v>
      </c>
      <c r="B110" s="248">
        <v>462</v>
      </c>
      <c r="C110" s="249" t="s">
        <v>558</v>
      </c>
      <c r="D110" s="249" t="s">
        <v>559</v>
      </c>
      <c r="E110" s="249" t="s">
        <v>560</v>
      </c>
      <c r="F110" s="247">
        <v>1</v>
      </c>
      <c r="G110" s="250" t="e">
        <f t="shared" si="5"/>
        <v>#N/A</v>
      </c>
      <c r="H110" s="250" t="e">
        <f t="shared" si="4"/>
        <v>#N/A</v>
      </c>
      <c r="I110" s="247">
        <v>1.7869999999999999</v>
      </c>
      <c r="J110" s="247">
        <v>21.446999999999999</v>
      </c>
      <c r="K110" s="247">
        <v>68</v>
      </c>
      <c r="L110" s="247">
        <v>4.9000000000000004</v>
      </c>
      <c r="M110" s="247">
        <v>8.6</v>
      </c>
      <c r="N110" s="250">
        <v>182.36699999999999</v>
      </c>
      <c r="O110" s="250">
        <v>181.29</v>
      </c>
      <c r="P110" s="249">
        <v>4.4772354647496497</v>
      </c>
      <c r="Q110" s="249">
        <v>10.740430012008799</v>
      </c>
      <c r="R110" s="249">
        <v>28.351620633118898</v>
      </c>
      <c r="S110" s="249">
        <v>48.2017031590145</v>
      </c>
      <c r="T110" s="249">
        <v>10.944414285479301</v>
      </c>
      <c r="U110" s="249">
        <v>17.6111906211102</v>
      </c>
      <c r="V110" s="249">
        <v>71.648379366881102</v>
      </c>
      <c r="W110" s="249">
        <v>19.850082525895601</v>
      </c>
      <c r="X110" s="249">
        <v>57.255424501143303</v>
      </c>
      <c r="Y110" s="249">
        <v>64.738686275477505</v>
      </c>
      <c r="Z110" s="249">
        <v>66.793882665175204</v>
      </c>
      <c r="AA110" s="249">
        <v>37.405341975247701</v>
      </c>
      <c r="AB110" s="249">
        <v>46.943800139279602</v>
      </c>
      <c r="AC110" s="249">
        <v>48.332209226449997</v>
      </c>
      <c r="AD110" s="249">
        <v>14.392954865737799</v>
      </c>
      <c r="AE110" s="249">
        <v>4.8544967017058998</v>
      </c>
      <c r="AF110" s="249">
        <v>4.0162171107065996</v>
      </c>
      <c r="AG110" s="249">
        <v>9.8058359534447597</v>
      </c>
      <c r="AH110" s="249">
        <v>26.600474378068299</v>
      </c>
      <c r="AI110" s="249">
        <v>45.7305973854046</v>
      </c>
      <c r="AJ110" s="249">
        <v>10.402669755640099</v>
      </c>
      <c r="AK110" s="249">
        <v>16.7946384246235</v>
      </c>
      <c r="AL110" s="249">
        <v>73.399525621931701</v>
      </c>
      <c r="AM110" s="249">
        <v>19.130123007336302</v>
      </c>
      <c r="AN110" s="249">
        <v>58.873076286612601</v>
      </c>
      <c r="AO110" s="249">
        <v>66.749958629819602</v>
      </c>
      <c r="AP110" s="249">
        <v>68.852666997628106</v>
      </c>
      <c r="AQ110" s="249">
        <v>39.7429532792763</v>
      </c>
      <c r="AR110" s="249">
        <v>49.722543990291797</v>
      </c>
      <c r="AS110" s="249">
        <v>14.5264493353191</v>
      </c>
      <c r="AT110" s="241">
        <v>4.5468586243036002</v>
      </c>
    </row>
    <row r="111" spans="1:46" x14ac:dyDescent="0.4">
      <c r="A111" s="251" t="s">
        <v>561</v>
      </c>
      <c r="B111" s="252">
        <v>466</v>
      </c>
      <c r="C111" s="253" t="s">
        <v>562</v>
      </c>
      <c r="D111" s="253" t="s">
        <v>252</v>
      </c>
      <c r="E111" s="253" t="s">
        <v>253</v>
      </c>
      <c r="F111" s="251">
        <v>1</v>
      </c>
      <c r="G111" s="254" t="e">
        <f t="shared" si="5"/>
        <v>#N/A</v>
      </c>
      <c r="H111" s="254" t="e">
        <f t="shared" si="4"/>
        <v>#N/A</v>
      </c>
      <c r="I111" s="251">
        <v>2.9750000000000001</v>
      </c>
      <c r="J111" s="251">
        <v>44.137999999999998</v>
      </c>
      <c r="K111" s="251">
        <v>587</v>
      </c>
      <c r="L111" s="251">
        <v>37.799999999999997</v>
      </c>
      <c r="M111" s="251">
        <v>114.7</v>
      </c>
      <c r="N111" s="254">
        <v>8884.69</v>
      </c>
      <c r="O111" s="254">
        <v>8715.0040000000008</v>
      </c>
      <c r="P111" s="241">
        <v>7.73231255114134</v>
      </c>
      <c r="Q111" s="241">
        <v>18.698176301030198</v>
      </c>
      <c r="R111" s="241">
        <v>47.9939086225856</v>
      </c>
      <c r="S111" s="241">
        <v>67.453518355733294</v>
      </c>
      <c r="T111" s="241">
        <v>18.983352261024301</v>
      </c>
      <c r="U111" s="241">
        <v>29.295732321555398</v>
      </c>
      <c r="V111" s="241">
        <v>52.0060913774144</v>
      </c>
      <c r="W111" s="241">
        <v>19.459609733147701</v>
      </c>
      <c r="X111" s="241">
        <v>44.713805433841799</v>
      </c>
      <c r="Y111" s="241">
        <v>48.463750564172699</v>
      </c>
      <c r="Z111" s="241">
        <v>49.8032345529219</v>
      </c>
      <c r="AA111" s="241">
        <v>25.254195700694101</v>
      </c>
      <c r="AB111" s="241">
        <v>30.343624819774199</v>
      </c>
      <c r="AC111" s="241">
        <v>31.250679539747601</v>
      </c>
      <c r="AD111" s="241">
        <v>7.2922859435725904</v>
      </c>
      <c r="AE111" s="241">
        <v>2.20285682449247</v>
      </c>
      <c r="AF111" s="241">
        <v>7.6858943495608303</v>
      </c>
      <c r="AG111" s="241">
        <v>18.473669088390501</v>
      </c>
      <c r="AH111" s="241">
        <v>47.049353046768502</v>
      </c>
      <c r="AI111" s="241">
        <v>66.023767745832302</v>
      </c>
      <c r="AJ111" s="241">
        <v>18.519980025252998</v>
      </c>
      <c r="AK111" s="241">
        <v>28.575683958378001</v>
      </c>
      <c r="AL111" s="241">
        <v>52.950646953231399</v>
      </c>
      <c r="AM111" s="241">
        <v>18.9744146990638</v>
      </c>
      <c r="AN111" s="241">
        <v>44.126600515616502</v>
      </c>
      <c r="AO111" s="241">
        <v>48.466369034368803</v>
      </c>
      <c r="AP111" s="241">
        <v>50.108020604465601</v>
      </c>
      <c r="AQ111" s="241">
        <v>25.152185816552699</v>
      </c>
      <c r="AR111" s="241">
        <v>31.133605905401801</v>
      </c>
      <c r="AS111" s="241">
        <v>8.8240464376149408</v>
      </c>
      <c r="AT111" s="249">
        <v>2.8426263487658701</v>
      </c>
    </row>
    <row r="112" spans="1:46" x14ac:dyDescent="0.4">
      <c r="A112" s="247" t="s">
        <v>563</v>
      </c>
      <c r="B112" s="248">
        <v>470</v>
      </c>
      <c r="C112" s="249" t="s">
        <v>564</v>
      </c>
      <c r="D112" s="249" t="s">
        <v>565</v>
      </c>
      <c r="E112" s="249" t="s">
        <v>566</v>
      </c>
      <c r="F112" s="247">
        <v>1</v>
      </c>
      <c r="G112" s="250" t="e">
        <f t="shared" si="5"/>
        <v>#N/A</v>
      </c>
      <c r="H112" s="250" t="e">
        <f t="shared" si="4"/>
        <v>#N/A</v>
      </c>
      <c r="I112" s="247">
        <v>0.318</v>
      </c>
      <c r="J112" s="247">
        <v>9.5</v>
      </c>
      <c r="K112" s="247">
        <v>9</v>
      </c>
      <c r="L112" s="247">
        <v>4.4000000000000004</v>
      </c>
      <c r="M112" s="247">
        <v>6.4</v>
      </c>
      <c r="N112" s="250">
        <v>208.49600000000001</v>
      </c>
      <c r="O112" s="250">
        <v>210.17400000000001</v>
      </c>
      <c r="P112" s="249">
        <v>1.7760532576164501</v>
      </c>
      <c r="Q112" s="249">
        <v>4.59529199600951</v>
      </c>
      <c r="R112" s="249">
        <v>14.584932085028001</v>
      </c>
      <c r="S112" s="249">
        <v>27.110831862481799</v>
      </c>
      <c r="T112" s="249">
        <v>5.86581996776916</v>
      </c>
      <c r="U112" s="249">
        <v>9.98964008901849</v>
      </c>
      <c r="V112" s="249">
        <v>85.415067914971999</v>
      </c>
      <c r="W112" s="249">
        <v>12.5258997774538</v>
      </c>
      <c r="X112" s="249">
        <v>48.0421686746988</v>
      </c>
      <c r="Y112" s="249">
        <v>61.698545775458498</v>
      </c>
      <c r="Z112" s="249">
        <v>67.998906453840803</v>
      </c>
      <c r="AA112" s="249">
        <v>35.516268897244998</v>
      </c>
      <c r="AB112" s="249">
        <v>55.473006676387101</v>
      </c>
      <c r="AC112" s="249">
        <v>62.280331517151403</v>
      </c>
      <c r="AD112" s="249">
        <v>37.372899240273199</v>
      </c>
      <c r="AE112" s="249">
        <v>17.4161614611311</v>
      </c>
      <c r="AF112" s="249">
        <v>1.7509301816590099</v>
      </c>
      <c r="AG112" s="249">
        <v>4.3059560173951104</v>
      </c>
      <c r="AH112" s="249">
        <v>14.280548497911299</v>
      </c>
      <c r="AI112" s="249">
        <v>27.7845975239563</v>
      </c>
      <c r="AJ112" s="249">
        <v>5.54635682815191</v>
      </c>
      <c r="AK112" s="249">
        <v>9.9745924805161401</v>
      </c>
      <c r="AL112" s="249">
        <v>85.719451502088702</v>
      </c>
      <c r="AM112" s="249">
        <v>13.5040490260451</v>
      </c>
      <c r="AN112" s="249">
        <v>45.029356628317501</v>
      </c>
      <c r="AO112" s="249">
        <v>58.343562952601197</v>
      </c>
      <c r="AP112" s="249">
        <v>64.654048550248802</v>
      </c>
      <c r="AQ112" s="249">
        <v>31.525307602272399</v>
      </c>
      <c r="AR112" s="249">
        <v>51.1499995242037</v>
      </c>
      <c r="AS112" s="249">
        <v>40.690094873771301</v>
      </c>
      <c r="AT112" s="241">
        <v>21.0654029518399</v>
      </c>
    </row>
    <row r="113" spans="1:46" x14ac:dyDescent="0.4">
      <c r="A113" s="251" t="s">
        <v>567</v>
      </c>
      <c r="B113" s="252">
        <v>584</v>
      </c>
      <c r="C113" s="253" t="s">
        <v>568</v>
      </c>
      <c r="D113" s="253" t="s">
        <v>374</v>
      </c>
      <c r="E113" s="253" t="s">
        <v>375</v>
      </c>
      <c r="F113" s="251">
        <v>1.3988592400000002</v>
      </c>
      <c r="G113" s="254" t="e">
        <f t="shared" si="5"/>
        <v>#N/A</v>
      </c>
      <c r="H113" s="254" t="e">
        <f t="shared" si="4"/>
        <v>#N/A</v>
      </c>
      <c r="I113" s="251">
        <v>0.214</v>
      </c>
      <c r="J113" s="251">
        <v>0</v>
      </c>
      <c r="K113" s="251">
        <v>0</v>
      </c>
      <c r="L113" s="251">
        <v>16.7</v>
      </c>
      <c r="M113" s="251">
        <v>36</v>
      </c>
      <c r="N113" s="254" t="e">
        <v>#N/A</v>
      </c>
      <c r="O113" s="254" t="e">
        <v>#N/A</v>
      </c>
      <c r="P113" s="241" t="e">
        <v>#N/A</v>
      </c>
      <c r="Q113" s="241" t="e">
        <v>#N/A</v>
      </c>
      <c r="R113" s="241" t="e">
        <v>#N/A</v>
      </c>
      <c r="S113" s="241" t="e">
        <v>#N/A</v>
      </c>
      <c r="T113" s="241" t="e">
        <v>#N/A</v>
      </c>
      <c r="U113" s="241" t="e">
        <v>#N/A</v>
      </c>
      <c r="V113" s="241" t="e">
        <v>#N/A</v>
      </c>
      <c r="W113" s="241" t="e">
        <v>#N/A</v>
      </c>
      <c r="X113" s="241" t="e">
        <v>#N/A</v>
      </c>
      <c r="Y113" s="241" t="e">
        <v>#N/A</v>
      </c>
      <c r="Z113" s="241" t="e">
        <v>#N/A</v>
      </c>
      <c r="AA113" s="241" t="e">
        <v>#N/A</v>
      </c>
      <c r="AB113" s="241" t="e">
        <v>#N/A</v>
      </c>
      <c r="AC113" s="241" t="e">
        <v>#N/A</v>
      </c>
      <c r="AD113" s="241" t="e">
        <v>#N/A</v>
      </c>
      <c r="AE113" s="241" t="e">
        <v>#N/A</v>
      </c>
      <c r="AF113" s="241" t="e">
        <v>#N/A</v>
      </c>
      <c r="AG113" s="241" t="e">
        <v>#N/A</v>
      </c>
      <c r="AH113" s="241" t="e">
        <v>#N/A</v>
      </c>
      <c r="AI113" s="241" t="e">
        <v>#N/A</v>
      </c>
      <c r="AJ113" s="241" t="e">
        <v>#N/A</v>
      </c>
      <c r="AK113" s="241" t="e">
        <v>#N/A</v>
      </c>
      <c r="AL113" s="241" t="e">
        <v>#N/A</v>
      </c>
      <c r="AM113" s="241" t="e">
        <v>#N/A</v>
      </c>
      <c r="AN113" s="241" t="e">
        <v>#N/A</v>
      </c>
      <c r="AO113" s="241" t="e">
        <v>#N/A</v>
      </c>
      <c r="AP113" s="241" t="e">
        <v>#N/A</v>
      </c>
      <c r="AQ113" s="241" t="e">
        <v>#N/A</v>
      </c>
      <c r="AR113" s="241" t="e">
        <v>#N/A</v>
      </c>
      <c r="AS113" s="241" t="e">
        <v>#N/A</v>
      </c>
      <c r="AT113" s="249" t="e">
        <v>#N/A</v>
      </c>
    </row>
    <row r="114" spans="1:46" x14ac:dyDescent="0.4">
      <c r="A114" s="247" t="s">
        <v>569</v>
      </c>
      <c r="B114" s="248">
        <v>478</v>
      </c>
      <c r="C114" s="249" t="s">
        <v>570</v>
      </c>
      <c r="D114" s="249" t="s">
        <v>571</v>
      </c>
      <c r="E114" s="249" t="s">
        <v>572</v>
      </c>
      <c r="F114" s="247">
        <v>1</v>
      </c>
      <c r="G114" s="250" t="e">
        <f t="shared" si="5"/>
        <v>#N/A</v>
      </c>
      <c r="H114" s="250" t="e">
        <f t="shared" si="4"/>
        <v>#N/A</v>
      </c>
      <c r="I114" s="247">
        <v>2.4900000000000002</v>
      </c>
      <c r="J114" s="247">
        <v>33.801000000000002</v>
      </c>
      <c r="K114" s="247">
        <v>602</v>
      </c>
      <c r="L114" s="247">
        <v>35.700000000000003</v>
      </c>
      <c r="M114" s="247">
        <v>84.7</v>
      </c>
      <c r="N114" s="250">
        <v>2046.7809999999999</v>
      </c>
      <c r="O114" s="250">
        <v>2020.7829999999999</v>
      </c>
      <c r="P114" s="249">
        <v>6.1496076033537603</v>
      </c>
      <c r="Q114" s="249">
        <v>14.924410574458101</v>
      </c>
      <c r="R114" s="249">
        <v>40.373835793863599</v>
      </c>
      <c r="S114" s="249">
        <v>60.065927913147497</v>
      </c>
      <c r="T114" s="249">
        <v>15.966095053647701</v>
      </c>
      <c r="U114" s="249">
        <v>25.449425219405502</v>
      </c>
      <c r="V114" s="249">
        <v>59.626164206136401</v>
      </c>
      <c r="W114" s="249">
        <v>19.692092119283899</v>
      </c>
      <c r="X114" s="249">
        <v>49.400741945523201</v>
      </c>
      <c r="Y114" s="249">
        <v>55.122604714427197</v>
      </c>
      <c r="Z114" s="249">
        <v>56.9088241487487</v>
      </c>
      <c r="AA114" s="249">
        <v>29.708649826239299</v>
      </c>
      <c r="AB114" s="249">
        <v>37.216732029464801</v>
      </c>
      <c r="AC114" s="249">
        <v>38.3918943941731</v>
      </c>
      <c r="AD114" s="249">
        <v>10.225422260613099</v>
      </c>
      <c r="AE114" s="249">
        <v>2.7173400573876698</v>
      </c>
      <c r="AF114" s="249">
        <v>6.0206365552362602</v>
      </c>
      <c r="AG114" s="249">
        <v>14.6285870377967</v>
      </c>
      <c r="AH114" s="249">
        <v>39.654381494697901</v>
      </c>
      <c r="AI114" s="249">
        <v>58.995745708470402</v>
      </c>
      <c r="AJ114" s="249">
        <v>15.6947084372741</v>
      </c>
      <c r="AK114" s="249">
        <v>25.025794456901099</v>
      </c>
      <c r="AL114" s="249">
        <v>60.345618505302099</v>
      </c>
      <c r="AM114" s="249">
        <v>19.3413642137726</v>
      </c>
      <c r="AN114" s="249">
        <v>48.718541278306503</v>
      </c>
      <c r="AO114" s="249">
        <v>54.670887472826102</v>
      </c>
      <c r="AP114" s="249">
        <v>56.636709631860498</v>
      </c>
      <c r="AQ114" s="249">
        <v>29.3771770645339</v>
      </c>
      <c r="AR114" s="249">
        <v>37.295345418087898</v>
      </c>
      <c r="AS114" s="249">
        <v>11.6270772269957</v>
      </c>
      <c r="AT114" s="241">
        <v>3.7089088734416298</v>
      </c>
    </row>
    <row r="115" spans="1:46" x14ac:dyDescent="0.4">
      <c r="A115" s="251" t="s">
        <v>573</v>
      </c>
      <c r="B115" s="252">
        <v>480</v>
      </c>
      <c r="C115" s="253" t="s">
        <v>574</v>
      </c>
      <c r="D115" s="253" t="s">
        <v>575</v>
      </c>
      <c r="E115" s="253" t="s">
        <v>576</v>
      </c>
      <c r="F115" s="251">
        <v>49.106557758620674</v>
      </c>
      <c r="G115" s="254" t="e">
        <f t="shared" si="5"/>
        <v>#N/A</v>
      </c>
      <c r="H115" s="254" t="e">
        <f t="shared" si="4"/>
        <v>#N/A</v>
      </c>
      <c r="I115" s="251">
        <v>0.40100000000000002</v>
      </c>
      <c r="J115" s="251">
        <v>10.9</v>
      </c>
      <c r="K115" s="251">
        <v>53</v>
      </c>
      <c r="L115" s="251">
        <v>8.4</v>
      </c>
      <c r="M115" s="251">
        <v>13.5</v>
      </c>
      <c r="N115" s="254">
        <v>628.84100000000001</v>
      </c>
      <c r="O115" s="254">
        <v>644.37099999999998</v>
      </c>
      <c r="P115" s="241">
        <v>2.2651194817131799</v>
      </c>
      <c r="Q115" s="241">
        <v>5.7233863568056096</v>
      </c>
      <c r="R115" s="241">
        <v>19.936200088734701</v>
      </c>
      <c r="S115" s="241">
        <v>36.217263187355798</v>
      </c>
      <c r="T115" s="241">
        <v>7.99407163336996</v>
      </c>
      <c r="U115" s="241">
        <v>14.212813731929099</v>
      </c>
      <c r="V115" s="241">
        <v>80.063799911265306</v>
      </c>
      <c r="W115" s="241">
        <v>16.2810630986211</v>
      </c>
      <c r="X115" s="241">
        <v>53.1663806908265</v>
      </c>
      <c r="Y115" s="241">
        <v>66.873343182139806</v>
      </c>
      <c r="Z115" s="241">
        <v>71.8723810947441</v>
      </c>
      <c r="AA115" s="241">
        <v>36.885317592205297</v>
      </c>
      <c r="AB115" s="241">
        <v>55.591317996123003</v>
      </c>
      <c r="AC115" s="241">
        <v>59.244228668296103</v>
      </c>
      <c r="AD115" s="241">
        <v>26.897419220438898</v>
      </c>
      <c r="AE115" s="241">
        <v>8.1914188165211907</v>
      </c>
      <c r="AF115" s="241">
        <v>2.1236213299481199</v>
      </c>
      <c r="AG115" s="241">
        <v>5.3746987372181501</v>
      </c>
      <c r="AH115" s="241">
        <v>18.722909628149001</v>
      </c>
      <c r="AI115" s="241">
        <v>34.285372867493997</v>
      </c>
      <c r="AJ115" s="241">
        <v>7.5062347622720402</v>
      </c>
      <c r="AK115" s="241">
        <v>13.348210890930799</v>
      </c>
      <c r="AL115" s="241">
        <v>81.277090371851003</v>
      </c>
      <c r="AM115" s="241">
        <v>15.562463239345</v>
      </c>
      <c r="AN115" s="241">
        <v>51.3118995113064</v>
      </c>
      <c r="AO115" s="241">
        <v>65.0469993218193</v>
      </c>
      <c r="AP115" s="241">
        <v>70.375451409203706</v>
      </c>
      <c r="AQ115" s="241">
        <v>35.749436271961301</v>
      </c>
      <c r="AR115" s="241">
        <v>54.812988169858599</v>
      </c>
      <c r="AS115" s="241">
        <v>29.965190860544599</v>
      </c>
      <c r="AT115" s="249">
        <v>10.901638962647301</v>
      </c>
    </row>
    <row r="116" spans="1:46" x14ac:dyDescent="0.4">
      <c r="A116" s="247" t="s">
        <v>577</v>
      </c>
      <c r="B116" s="248">
        <v>484</v>
      </c>
      <c r="C116" s="249" t="s">
        <v>578</v>
      </c>
      <c r="D116" s="249" t="s">
        <v>579</v>
      </c>
      <c r="E116" s="249" t="s">
        <v>580</v>
      </c>
      <c r="F116" s="247">
        <v>22.222761087866115</v>
      </c>
      <c r="G116" s="250" t="e">
        <f t="shared" si="5"/>
        <v>#N/A</v>
      </c>
      <c r="H116" s="250" t="e">
        <f t="shared" si="4"/>
        <v>#N/A</v>
      </c>
      <c r="I116" s="247">
        <v>1.3680000000000001</v>
      </c>
      <c r="J116" s="247">
        <v>19.103999999999999</v>
      </c>
      <c r="K116" s="247">
        <v>38</v>
      </c>
      <c r="L116" s="247">
        <v>7</v>
      </c>
      <c r="M116" s="247">
        <v>13.2</v>
      </c>
      <c r="N116" s="250">
        <v>63181.447</v>
      </c>
      <c r="O116" s="250">
        <v>63835.777000000002</v>
      </c>
      <c r="P116" s="249">
        <v>3.7790872374290498</v>
      </c>
      <c r="Q116" s="249">
        <v>9.3931894279027794</v>
      </c>
      <c r="R116" s="249">
        <v>28.323757763889098</v>
      </c>
      <c r="S116" s="249">
        <v>47.020963290061999</v>
      </c>
      <c r="T116" s="249">
        <v>11.285493350603399</v>
      </c>
      <c r="U116" s="249">
        <v>18.930568335986401</v>
      </c>
      <c r="V116" s="249">
        <v>71.676242236110895</v>
      </c>
      <c r="W116" s="249">
        <v>18.697205526172901</v>
      </c>
      <c r="X116" s="249">
        <v>54.454691422309502</v>
      </c>
      <c r="Y116" s="249">
        <v>62.661075172906401</v>
      </c>
      <c r="Z116" s="249">
        <v>65.674024528118196</v>
      </c>
      <c r="AA116" s="249">
        <v>35.7574858961366</v>
      </c>
      <c r="AB116" s="249">
        <v>46.976819001945302</v>
      </c>
      <c r="AC116" s="249">
        <v>49.105945610900598</v>
      </c>
      <c r="AD116" s="249">
        <v>17.2215508138014</v>
      </c>
      <c r="AE116" s="249">
        <v>6.00221770799266</v>
      </c>
      <c r="AF116" s="249">
        <v>3.5913246579578701</v>
      </c>
      <c r="AG116" s="249">
        <v>8.9012091135038602</v>
      </c>
      <c r="AH116" s="249">
        <v>26.8944779978162</v>
      </c>
      <c r="AI116" s="249">
        <v>44.852158688379397</v>
      </c>
      <c r="AJ116" s="249">
        <v>10.6915719064562</v>
      </c>
      <c r="AK116" s="249">
        <v>17.9932688843123</v>
      </c>
      <c r="AL116" s="249">
        <v>73.105522002183804</v>
      </c>
      <c r="AM116" s="249">
        <v>17.957680690563201</v>
      </c>
      <c r="AN116" s="249">
        <v>54.089348673550298</v>
      </c>
      <c r="AO116" s="249">
        <v>62.9530584393137</v>
      </c>
      <c r="AP116" s="249">
        <v>66.1785255625541</v>
      </c>
      <c r="AQ116" s="249">
        <v>36.131667982986997</v>
      </c>
      <c r="AR116" s="249">
        <v>48.220844871990799</v>
      </c>
      <c r="AS116" s="249">
        <v>19.016173328633599</v>
      </c>
      <c r="AT116" s="241">
        <v>6.9269964396297699</v>
      </c>
    </row>
    <row r="117" spans="1:46" x14ac:dyDescent="0.4">
      <c r="A117" s="251" t="s">
        <v>581</v>
      </c>
      <c r="B117" s="252">
        <v>583</v>
      </c>
      <c r="C117" s="253" t="s">
        <v>582</v>
      </c>
      <c r="D117" s="253" t="s">
        <v>374</v>
      </c>
      <c r="E117" s="253" t="s">
        <v>375</v>
      </c>
      <c r="F117" s="251">
        <v>1.3988592400000002</v>
      </c>
      <c r="G117" s="254" t="e">
        <f t="shared" si="5"/>
        <v>#N/A</v>
      </c>
      <c r="H117" s="254" t="e">
        <f t="shared" si="4"/>
        <v>#N/A</v>
      </c>
      <c r="I117" s="251">
        <v>0.16200000000000001</v>
      </c>
      <c r="J117" s="251">
        <v>23.510999999999999</v>
      </c>
      <c r="K117" s="251">
        <v>100</v>
      </c>
      <c r="L117" s="251">
        <v>18.8</v>
      </c>
      <c r="M117" s="251">
        <v>34.700000000000003</v>
      </c>
      <c r="N117" s="254">
        <v>53.51</v>
      </c>
      <c r="O117" s="254">
        <v>50.95</v>
      </c>
      <c r="P117" s="241">
        <v>4.57858344234723</v>
      </c>
      <c r="Q117" s="241">
        <v>11.1810876471688</v>
      </c>
      <c r="R117" s="241">
        <v>34.429078676882803</v>
      </c>
      <c r="S117" s="241">
        <v>58.404036628667498</v>
      </c>
      <c r="T117" s="241">
        <v>13.532050084096401</v>
      </c>
      <c r="U117" s="241">
        <v>23.2479910297141</v>
      </c>
      <c r="V117" s="241">
        <v>65.570921323117204</v>
      </c>
      <c r="W117" s="241">
        <v>23.974957951784699</v>
      </c>
      <c r="X117" s="241">
        <v>51.668846944496401</v>
      </c>
      <c r="Y117" s="241">
        <v>58.553541394131997</v>
      </c>
      <c r="Z117" s="241">
        <v>61.717435993272296</v>
      </c>
      <c r="AA117" s="241">
        <v>27.693888992711599</v>
      </c>
      <c r="AB117" s="241">
        <v>37.742478041487601</v>
      </c>
      <c r="AC117" s="241">
        <v>39.609418800224297</v>
      </c>
      <c r="AD117" s="241">
        <v>13.902074378620799</v>
      </c>
      <c r="AE117" s="241">
        <v>3.8534853298448901</v>
      </c>
      <c r="AF117" s="241">
        <v>4.4985279685966599</v>
      </c>
      <c r="AG117" s="241">
        <v>10.9656526005888</v>
      </c>
      <c r="AH117" s="241">
        <v>33.689892051030398</v>
      </c>
      <c r="AI117" s="241">
        <v>57.2561334641806</v>
      </c>
      <c r="AJ117" s="241">
        <v>13.209028459273799</v>
      </c>
      <c r="AK117" s="241">
        <v>22.724239450441601</v>
      </c>
      <c r="AL117" s="241">
        <v>66.310107948969602</v>
      </c>
      <c r="AM117" s="241">
        <v>23.566241413150198</v>
      </c>
      <c r="AN117" s="241">
        <v>50.694798822374899</v>
      </c>
      <c r="AO117" s="241">
        <v>58.245338567222802</v>
      </c>
      <c r="AP117" s="241">
        <v>61.424926398429903</v>
      </c>
      <c r="AQ117" s="241">
        <v>27.128557409224701</v>
      </c>
      <c r="AR117" s="241">
        <v>37.858684985279702</v>
      </c>
      <c r="AS117" s="241">
        <v>15.615309126594701</v>
      </c>
      <c r="AT117" s="249">
        <v>4.88518155053975</v>
      </c>
    </row>
    <row r="118" spans="1:46" x14ac:dyDescent="0.4">
      <c r="A118" s="247" t="s">
        <v>583</v>
      </c>
      <c r="B118" s="248">
        <v>492</v>
      </c>
      <c r="C118" s="249" t="s">
        <v>584</v>
      </c>
      <c r="D118" s="249" t="s">
        <v>196</v>
      </c>
      <c r="E118" s="249" t="s">
        <v>197</v>
      </c>
      <c r="F118" s="247">
        <v>1.2617355060728741</v>
      </c>
      <c r="G118" s="250" t="e">
        <f t="shared" si="5"/>
        <v>#N/A</v>
      </c>
      <c r="H118" s="250" t="e">
        <f t="shared" si="4"/>
        <v>#N/A</v>
      </c>
      <c r="I118" s="247">
        <v>0.47499999999999998</v>
      </c>
      <c r="J118" s="247">
        <v>0</v>
      </c>
      <c r="K118" s="247">
        <v>0</v>
      </c>
      <c r="L118" s="247">
        <v>1.9</v>
      </c>
      <c r="M118" s="247">
        <v>3.5</v>
      </c>
      <c r="N118" s="250" t="e">
        <v>#N/A</v>
      </c>
      <c r="O118" s="250" t="e">
        <v>#N/A</v>
      </c>
      <c r="P118" s="249" t="e">
        <v>#N/A</v>
      </c>
      <c r="Q118" s="249" t="e">
        <v>#N/A</v>
      </c>
      <c r="R118" s="249" t="e">
        <v>#N/A</v>
      </c>
      <c r="S118" s="249" t="e">
        <v>#N/A</v>
      </c>
      <c r="T118" s="249" t="e">
        <v>#N/A</v>
      </c>
      <c r="U118" s="249" t="e">
        <v>#N/A</v>
      </c>
      <c r="V118" s="249" t="e">
        <v>#N/A</v>
      </c>
      <c r="W118" s="249" t="e">
        <v>#N/A</v>
      </c>
      <c r="X118" s="249" t="e">
        <v>#N/A</v>
      </c>
      <c r="Y118" s="249" t="e">
        <v>#N/A</v>
      </c>
      <c r="Z118" s="249" t="e">
        <v>#N/A</v>
      </c>
      <c r="AA118" s="249" t="e">
        <v>#N/A</v>
      </c>
      <c r="AB118" s="249" t="e">
        <v>#N/A</v>
      </c>
      <c r="AC118" s="249" t="e">
        <v>#N/A</v>
      </c>
      <c r="AD118" s="249" t="e">
        <v>#N/A</v>
      </c>
      <c r="AE118" s="249" t="e">
        <v>#N/A</v>
      </c>
      <c r="AF118" s="249" t="e">
        <v>#N/A</v>
      </c>
      <c r="AG118" s="249" t="e">
        <v>#N/A</v>
      </c>
      <c r="AH118" s="249" t="e">
        <v>#N/A</v>
      </c>
      <c r="AI118" s="249" t="e">
        <v>#N/A</v>
      </c>
      <c r="AJ118" s="249" t="e">
        <v>#N/A</v>
      </c>
      <c r="AK118" s="249" t="e">
        <v>#N/A</v>
      </c>
      <c r="AL118" s="249" t="e">
        <v>#N/A</v>
      </c>
      <c r="AM118" s="249" t="e">
        <v>#N/A</v>
      </c>
      <c r="AN118" s="249" t="e">
        <v>#N/A</v>
      </c>
      <c r="AO118" s="249" t="e">
        <v>#N/A</v>
      </c>
      <c r="AP118" s="249" t="e">
        <v>#N/A</v>
      </c>
      <c r="AQ118" s="249" t="e">
        <v>#N/A</v>
      </c>
      <c r="AR118" s="249" t="e">
        <v>#N/A</v>
      </c>
      <c r="AS118" s="249" t="e">
        <v>#N/A</v>
      </c>
      <c r="AT118" s="241" t="e">
        <v>#N/A</v>
      </c>
    </row>
    <row r="119" spans="1:46" x14ac:dyDescent="0.4">
      <c r="A119" s="251" t="s">
        <v>585</v>
      </c>
      <c r="B119" s="252">
        <v>496</v>
      </c>
      <c r="C119" s="253" t="s">
        <v>586</v>
      </c>
      <c r="D119" s="253" t="s">
        <v>587</v>
      </c>
      <c r="E119" s="253" t="s">
        <v>588</v>
      </c>
      <c r="F119" s="251">
        <v>1</v>
      </c>
      <c r="G119" s="254" t="e">
        <f t="shared" si="5"/>
        <v>#N/A</v>
      </c>
      <c r="H119" s="254" t="e">
        <f t="shared" si="4"/>
        <v>#N/A</v>
      </c>
      <c r="I119" s="251">
        <v>1.7390000000000001</v>
      </c>
      <c r="J119" s="251">
        <v>24.274999999999999</v>
      </c>
      <c r="K119" s="251">
        <v>44</v>
      </c>
      <c r="L119" s="251">
        <v>11.1</v>
      </c>
      <c r="M119" s="251">
        <v>22.4</v>
      </c>
      <c r="N119" s="254">
        <v>1464.759</v>
      </c>
      <c r="O119" s="254">
        <v>1494.375</v>
      </c>
      <c r="P119" s="241">
        <v>4.8156727488958904</v>
      </c>
      <c r="Q119" s="241">
        <v>11.6694964837219</v>
      </c>
      <c r="R119" s="241">
        <v>28.8299303844523</v>
      </c>
      <c r="S119" s="241">
        <v>46.081437287635701</v>
      </c>
      <c r="T119" s="241">
        <v>11.2363876924463</v>
      </c>
      <c r="U119" s="241">
        <v>17.1604339007304</v>
      </c>
      <c r="V119" s="241">
        <v>71.170069615547703</v>
      </c>
      <c r="W119" s="241">
        <v>17.251506903183401</v>
      </c>
      <c r="X119" s="241">
        <v>57.249417822317497</v>
      </c>
      <c r="Y119" s="241">
        <v>65.588468819785405</v>
      </c>
      <c r="Z119" s="241">
        <v>67.728069941881301</v>
      </c>
      <c r="AA119" s="241">
        <v>39.9979109191341</v>
      </c>
      <c r="AB119" s="241">
        <v>50.476563038697897</v>
      </c>
      <c r="AC119" s="241">
        <v>51.798760069062602</v>
      </c>
      <c r="AD119" s="241">
        <v>13.920651793230199</v>
      </c>
      <c r="AE119" s="241">
        <v>3.4419996736664502</v>
      </c>
      <c r="AF119" s="241">
        <v>4.60975324132162</v>
      </c>
      <c r="AG119" s="241">
        <v>11.1708239230448</v>
      </c>
      <c r="AH119" s="241">
        <v>27.637774989544099</v>
      </c>
      <c r="AI119" s="241">
        <v>44.1726474278544</v>
      </c>
      <c r="AJ119" s="241">
        <v>10.7723295692179</v>
      </c>
      <c r="AK119" s="241">
        <v>16.466951066499401</v>
      </c>
      <c r="AL119" s="241">
        <v>72.362225010455901</v>
      </c>
      <c r="AM119" s="241">
        <v>16.534872438310298</v>
      </c>
      <c r="AN119" s="241">
        <v>55.7599665411961</v>
      </c>
      <c r="AO119" s="241">
        <v>65.202977833542406</v>
      </c>
      <c r="AP119" s="241">
        <v>67.728515265579205</v>
      </c>
      <c r="AQ119" s="241">
        <v>39.225094102885798</v>
      </c>
      <c r="AR119" s="241">
        <v>51.193642827268903</v>
      </c>
      <c r="AS119" s="241">
        <v>16.602258469259699</v>
      </c>
      <c r="AT119" s="249">
        <v>4.6337097448766196</v>
      </c>
    </row>
    <row r="120" spans="1:46" x14ac:dyDescent="0.4">
      <c r="A120" s="247" t="s">
        <v>589</v>
      </c>
      <c r="B120" s="248">
        <v>499</v>
      </c>
      <c r="C120" s="249" t="s">
        <v>590</v>
      </c>
      <c r="D120" s="249" t="s">
        <v>196</v>
      </c>
      <c r="E120" s="249" t="s">
        <v>197</v>
      </c>
      <c r="F120" s="247">
        <v>1.2617355060728741</v>
      </c>
      <c r="G120" s="250" t="e">
        <f t="shared" si="5"/>
        <v>#N/A</v>
      </c>
      <c r="H120" s="250" t="e">
        <f t="shared" si="4"/>
        <v>#N/A</v>
      </c>
      <c r="I120" s="247">
        <v>0.123</v>
      </c>
      <c r="J120" s="247">
        <v>11.616</v>
      </c>
      <c r="K120" s="247">
        <v>7</v>
      </c>
      <c r="L120" s="247">
        <v>3.1</v>
      </c>
      <c r="M120" s="247">
        <v>4.7</v>
      </c>
      <c r="N120" s="250">
        <v>309.21100000000001</v>
      </c>
      <c r="O120" s="250">
        <v>316.57</v>
      </c>
      <c r="P120" s="249">
        <v>2.3340049351413801</v>
      </c>
      <c r="Q120" s="249">
        <v>6.1443480341902497</v>
      </c>
      <c r="R120" s="249">
        <v>19.553314726837002</v>
      </c>
      <c r="S120" s="249">
        <v>33.872016196060301</v>
      </c>
      <c r="T120" s="249">
        <v>8.0100643250078392</v>
      </c>
      <c r="U120" s="249">
        <v>13.4089666926468</v>
      </c>
      <c r="V120" s="249">
        <v>80.446685273162998</v>
      </c>
      <c r="W120" s="249">
        <v>14.318701469223299</v>
      </c>
      <c r="X120" s="249">
        <v>48.802920982759403</v>
      </c>
      <c r="Y120" s="249">
        <v>62.226764248361199</v>
      </c>
      <c r="Z120" s="249">
        <v>68.707452192839199</v>
      </c>
      <c r="AA120" s="249">
        <v>34.484219513536097</v>
      </c>
      <c r="AB120" s="249">
        <v>54.3887507236159</v>
      </c>
      <c r="AC120" s="249">
        <v>58.467842347135097</v>
      </c>
      <c r="AD120" s="249">
        <v>31.643764290403599</v>
      </c>
      <c r="AE120" s="249">
        <v>11.7392330803238</v>
      </c>
      <c r="AF120" s="249">
        <v>2.14581293236883</v>
      </c>
      <c r="AG120" s="249">
        <v>5.6145560223647202</v>
      </c>
      <c r="AH120" s="249">
        <v>17.777426793442199</v>
      </c>
      <c r="AI120" s="249">
        <v>30.8374135262343</v>
      </c>
      <c r="AJ120" s="249">
        <v>7.2562150551220901</v>
      </c>
      <c r="AK120" s="249">
        <v>12.1628707710775</v>
      </c>
      <c r="AL120" s="249">
        <v>82.222573206557797</v>
      </c>
      <c r="AM120" s="249">
        <v>13.059986732792099</v>
      </c>
      <c r="AN120" s="249">
        <v>46.657927156710997</v>
      </c>
      <c r="AO120" s="249">
        <v>59.962725463562599</v>
      </c>
      <c r="AP120" s="249">
        <v>66.716050162681199</v>
      </c>
      <c r="AQ120" s="249">
        <v>33.597940423918899</v>
      </c>
      <c r="AR120" s="249">
        <v>53.656063429889102</v>
      </c>
      <c r="AS120" s="249">
        <v>35.5646460498468</v>
      </c>
      <c r="AT120" s="241">
        <v>15.5065230438765</v>
      </c>
    </row>
    <row r="121" spans="1:46" x14ac:dyDescent="0.4">
      <c r="A121" s="251" t="s">
        <v>591</v>
      </c>
      <c r="B121" s="252">
        <v>504</v>
      </c>
      <c r="C121" s="253" t="s">
        <v>592</v>
      </c>
      <c r="D121" s="253" t="s">
        <v>593</v>
      </c>
      <c r="E121" s="253" t="s">
        <v>594</v>
      </c>
      <c r="F121" s="251">
        <v>1</v>
      </c>
      <c r="G121" s="254" t="e">
        <f t="shared" si="5"/>
        <v>#N/A</v>
      </c>
      <c r="H121" s="254" t="e">
        <f t="shared" si="4"/>
        <v>#N/A</v>
      </c>
      <c r="I121" s="251">
        <v>1.3660000000000001</v>
      </c>
      <c r="J121" s="251">
        <v>21.023</v>
      </c>
      <c r="K121" s="251">
        <v>121</v>
      </c>
      <c r="L121" s="251">
        <v>17.600000000000001</v>
      </c>
      <c r="M121" s="251">
        <v>27.6</v>
      </c>
      <c r="N121" s="254">
        <v>16989.263999999999</v>
      </c>
      <c r="O121" s="254">
        <v>17388.246999999999</v>
      </c>
      <c r="P121" s="241">
        <v>4.2463640567360699</v>
      </c>
      <c r="Q121" s="241">
        <v>10.335591936178</v>
      </c>
      <c r="R121" s="241">
        <v>28.253719525460301</v>
      </c>
      <c r="S121" s="241">
        <v>46.498053123431397</v>
      </c>
      <c r="T121" s="241">
        <v>11.0628217914561</v>
      </c>
      <c r="U121" s="241">
        <v>17.9181275892823</v>
      </c>
      <c r="V121" s="241">
        <v>71.746280474539702</v>
      </c>
      <c r="W121" s="241">
        <v>18.244333597971</v>
      </c>
      <c r="X121" s="241">
        <v>52.358053886265999</v>
      </c>
      <c r="Y121" s="241">
        <v>62.430197093882299</v>
      </c>
      <c r="Z121" s="241">
        <v>65.937070611181298</v>
      </c>
      <c r="AA121" s="241">
        <v>34.113720288294999</v>
      </c>
      <c r="AB121" s="241">
        <v>47.692737013210198</v>
      </c>
      <c r="AC121" s="241">
        <v>49.828509345666802</v>
      </c>
      <c r="AD121" s="241">
        <v>19.3882265882736</v>
      </c>
      <c r="AE121" s="241">
        <v>5.8092098633584097</v>
      </c>
      <c r="AF121" s="241">
        <v>3.9271871396811902</v>
      </c>
      <c r="AG121" s="241">
        <v>9.5742428779623303</v>
      </c>
      <c r="AH121" s="241">
        <v>26.2140743687388</v>
      </c>
      <c r="AI121" s="241">
        <v>43.3577174283296</v>
      </c>
      <c r="AJ121" s="241">
        <v>10.2747160193894</v>
      </c>
      <c r="AK121" s="241">
        <v>16.639831490776501</v>
      </c>
      <c r="AL121" s="241">
        <v>73.785925631261094</v>
      </c>
      <c r="AM121" s="241">
        <v>17.143643059590801</v>
      </c>
      <c r="AN121" s="241">
        <v>53.849683639759597</v>
      </c>
      <c r="AO121" s="241">
        <v>63.814926254498197</v>
      </c>
      <c r="AP121" s="241">
        <v>67.266895852123497</v>
      </c>
      <c r="AQ121" s="241">
        <v>36.706040580168903</v>
      </c>
      <c r="AR121" s="241">
        <v>50.123252792532803</v>
      </c>
      <c r="AS121" s="241">
        <v>19.9362419915015</v>
      </c>
      <c r="AT121" s="249">
        <v>6.5190297791376004</v>
      </c>
    </row>
    <row r="122" spans="1:46" x14ac:dyDescent="0.4">
      <c r="A122" s="247" t="s">
        <v>595</v>
      </c>
      <c r="B122" s="248">
        <v>508</v>
      </c>
      <c r="C122" s="249" t="s">
        <v>596</v>
      </c>
      <c r="D122" s="249" t="s">
        <v>597</v>
      </c>
      <c r="E122" s="249" t="s">
        <v>598</v>
      </c>
      <c r="F122" s="247">
        <v>1</v>
      </c>
      <c r="G122" s="250" t="e">
        <f t="shared" si="5"/>
        <v>#N/A</v>
      </c>
      <c r="H122" s="250" t="e">
        <f t="shared" si="4"/>
        <v>#N/A</v>
      </c>
      <c r="I122" s="247">
        <v>2.8010000000000002</v>
      </c>
      <c r="J122" s="247">
        <v>39.704999999999998</v>
      </c>
      <c r="K122" s="247">
        <v>489</v>
      </c>
      <c r="L122" s="247">
        <v>27.1</v>
      </c>
      <c r="M122" s="247">
        <v>78.5</v>
      </c>
      <c r="N122" s="250">
        <v>13666.2</v>
      </c>
      <c r="O122" s="250">
        <v>14311.663</v>
      </c>
      <c r="P122" s="249">
        <v>7.4098066763255304</v>
      </c>
      <c r="Q122" s="249">
        <v>17.750252447644598</v>
      </c>
      <c r="R122" s="249">
        <v>46.579875898201401</v>
      </c>
      <c r="S122" s="249">
        <v>66.972252711068194</v>
      </c>
      <c r="T122" s="249">
        <v>18.280012000409801</v>
      </c>
      <c r="U122" s="249">
        <v>28.829623450556799</v>
      </c>
      <c r="V122" s="249">
        <v>53.420124101798599</v>
      </c>
      <c r="W122" s="249">
        <v>20.3923768128668</v>
      </c>
      <c r="X122" s="249">
        <v>44.615496626714098</v>
      </c>
      <c r="Y122" s="249">
        <v>48.902372276126499</v>
      </c>
      <c r="Z122" s="249">
        <v>50.530769343343401</v>
      </c>
      <c r="AA122" s="249">
        <v>24.223119813847301</v>
      </c>
      <c r="AB122" s="249">
        <v>30.138392530476601</v>
      </c>
      <c r="AC122" s="249">
        <v>31.358929329294199</v>
      </c>
      <c r="AD122" s="249">
        <v>8.8046274750845104</v>
      </c>
      <c r="AE122" s="249">
        <v>2.8893547584551702</v>
      </c>
      <c r="AF122" s="249">
        <v>6.9552643882126004</v>
      </c>
      <c r="AG122" s="249">
        <v>16.701609030341199</v>
      </c>
      <c r="AH122" s="249">
        <v>44.084723068171698</v>
      </c>
      <c r="AI122" s="249">
        <v>63.708487266643999</v>
      </c>
      <c r="AJ122" s="249">
        <v>17.329530467563401</v>
      </c>
      <c r="AK122" s="249">
        <v>27.383114037830499</v>
      </c>
      <c r="AL122" s="249">
        <v>55.915276931828203</v>
      </c>
      <c r="AM122" s="249">
        <v>19.623764198472301</v>
      </c>
      <c r="AN122" s="249">
        <v>45.0529194266243</v>
      </c>
      <c r="AO122" s="249">
        <v>50.2222418177398</v>
      </c>
      <c r="AP122" s="249">
        <v>52.127967239027299</v>
      </c>
      <c r="AQ122" s="249">
        <v>25.429155228151998</v>
      </c>
      <c r="AR122" s="249">
        <v>32.504203040555097</v>
      </c>
      <c r="AS122" s="249">
        <v>10.862357505204001</v>
      </c>
      <c r="AT122" s="241">
        <v>3.7873096928008998</v>
      </c>
    </row>
    <row r="123" spans="1:46" x14ac:dyDescent="0.4">
      <c r="A123" s="251" t="s">
        <v>599</v>
      </c>
      <c r="B123" s="252">
        <v>104</v>
      </c>
      <c r="C123" s="253" t="s">
        <v>600</v>
      </c>
      <c r="D123" s="253" t="s">
        <v>601</v>
      </c>
      <c r="E123" s="253" t="s">
        <v>602</v>
      </c>
      <c r="F123" s="251">
        <v>1</v>
      </c>
      <c r="G123" s="254" t="e">
        <f t="shared" si="5"/>
        <v>#N/A</v>
      </c>
      <c r="H123" s="254" t="e">
        <f t="shared" si="4"/>
        <v>#N/A</v>
      </c>
      <c r="I123" s="251">
        <v>0.82</v>
      </c>
      <c r="J123" s="251">
        <v>18.119</v>
      </c>
      <c r="K123" s="251">
        <v>178</v>
      </c>
      <c r="L123" s="251">
        <v>26.4</v>
      </c>
      <c r="M123" s="251">
        <v>50</v>
      </c>
      <c r="N123" s="254">
        <v>26334.984</v>
      </c>
      <c r="O123" s="254">
        <v>27562.17</v>
      </c>
      <c r="P123" s="241">
        <v>3.42562957319435</v>
      </c>
      <c r="Q123" s="241">
        <v>8.7377117829272297</v>
      </c>
      <c r="R123" s="241">
        <v>28.380700743923001</v>
      </c>
      <c r="S123" s="241">
        <v>46.587189876401702</v>
      </c>
      <c r="T123" s="241">
        <v>11.5392627540613</v>
      </c>
      <c r="U123" s="241">
        <v>19.642988960995801</v>
      </c>
      <c r="V123" s="241">
        <v>71.619299256076999</v>
      </c>
      <c r="W123" s="241">
        <v>18.206489132478701</v>
      </c>
      <c r="X123" s="241">
        <v>54.488481937182897</v>
      </c>
      <c r="Y123" s="241">
        <v>63.637422373220403</v>
      </c>
      <c r="Z123" s="241">
        <v>66.883970766794505</v>
      </c>
      <c r="AA123" s="241">
        <v>36.281992804704203</v>
      </c>
      <c r="AB123" s="241">
        <v>48.677481634315797</v>
      </c>
      <c r="AC123" s="241">
        <v>50.647051845560298</v>
      </c>
      <c r="AD123" s="241">
        <v>17.130817318894099</v>
      </c>
      <c r="AE123" s="241">
        <v>4.7353284892825496</v>
      </c>
      <c r="AF123" s="241">
        <v>3.2167859061895299</v>
      </c>
      <c r="AG123" s="241">
        <v>8.2135695411500595</v>
      </c>
      <c r="AH123" s="241">
        <v>26.757461404526602</v>
      </c>
      <c r="AI123" s="241">
        <v>44.207919768291099</v>
      </c>
      <c r="AJ123" s="241">
        <v>10.8782690187311</v>
      </c>
      <c r="AK123" s="241">
        <v>18.543891863376501</v>
      </c>
      <c r="AL123" s="241">
        <v>73.242538595473405</v>
      </c>
      <c r="AM123" s="241">
        <v>17.450458363764501</v>
      </c>
      <c r="AN123" s="241">
        <v>53.595116059439398</v>
      </c>
      <c r="AO123" s="241">
        <v>63.503610201954302</v>
      </c>
      <c r="AP123" s="241">
        <v>67.286320344152898</v>
      </c>
      <c r="AQ123" s="241">
        <v>36.144657695674901</v>
      </c>
      <c r="AR123" s="241">
        <v>49.835861980388302</v>
      </c>
      <c r="AS123" s="241">
        <v>19.647422536034</v>
      </c>
      <c r="AT123" s="249">
        <v>5.9562182513205597</v>
      </c>
    </row>
    <row r="124" spans="1:46" x14ac:dyDescent="0.4">
      <c r="A124" s="247" t="s">
        <v>603</v>
      </c>
      <c r="B124" s="248">
        <v>516</v>
      </c>
      <c r="C124" s="249" t="s">
        <v>604</v>
      </c>
      <c r="D124" s="249" t="s">
        <v>605</v>
      </c>
      <c r="E124" s="249" t="s">
        <v>606</v>
      </c>
      <c r="F124" s="247">
        <v>1</v>
      </c>
      <c r="G124" s="250" t="e">
        <f t="shared" si="5"/>
        <v>#N/A</v>
      </c>
      <c r="H124" s="250" t="e">
        <f t="shared" si="4"/>
        <v>#N/A</v>
      </c>
      <c r="I124" s="247">
        <v>2.282</v>
      </c>
      <c r="J124" s="247">
        <v>29.937000000000001</v>
      </c>
      <c r="K124" s="247">
        <v>265</v>
      </c>
      <c r="L124" s="247">
        <v>15.9</v>
      </c>
      <c r="M124" s="247">
        <v>45.4</v>
      </c>
      <c r="N124" s="250">
        <v>1196.788</v>
      </c>
      <c r="O124" s="250">
        <v>1262.0419999999999</v>
      </c>
      <c r="P124" s="249">
        <v>6.0149333048125504</v>
      </c>
      <c r="Q124" s="249">
        <v>14.2327630290411</v>
      </c>
      <c r="R124" s="249">
        <v>37.873290841819902</v>
      </c>
      <c r="S124" s="249">
        <v>59.463915079362401</v>
      </c>
      <c r="T124" s="249">
        <v>14.5859584153584</v>
      </c>
      <c r="U124" s="249">
        <v>23.640527812778899</v>
      </c>
      <c r="V124" s="249">
        <v>62.126709158179999</v>
      </c>
      <c r="W124" s="249">
        <v>21.590624237542499</v>
      </c>
      <c r="X124" s="249">
        <v>52.1731501318529</v>
      </c>
      <c r="Y124" s="249">
        <v>57.515867471933198</v>
      </c>
      <c r="Z124" s="249">
        <v>59.174975016460699</v>
      </c>
      <c r="AA124" s="249">
        <v>30.5825258943104</v>
      </c>
      <c r="AB124" s="249">
        <v>37.5843507789182</v>
      </c>
      <c r="AC124" s="249">
        <v>38.818153256884301</v>
      </c>
      <c r="AD124" s="249">
        <v>9.9535590263271292</v>
      </c>
      <c r="AE124" s="249">
        <v>2.9517341417193301</v>
      </c>
      <c r="AF124" s="249">
        <v>5.6157402051595797</v>
      </c>
      <c r="AG124" s="249">
        <v>13.304232347259401</v>
      </c>
      <c r="AH124" s="249">
        <v>35.5681506637656</v>
      </c>
      <c r="AI124" s="249">
        <v>56.134106471892402</v>
      </c>
      <c r="AJ124" s="249">
        <v>13.710320258755299</v>
      </c>
      <c r="AK124" s="249">
        <v>22.2639183165061</v>
      </c>
      <c r="AL124" s="249">
        <v>64.431849336234393</v>
      </c>
      <c r="AM124" s="249">
        <v>20.565955808126802</v>
      </c>
      <c r="AN124" s="249">
        <v>51.849066829788498</v>
      </c>
      <c r="AO124" s="249">
        <v>58.181502675822202</v>
      </c>
      <c r="AP124" s="249">
        <v>60.362967318044902</v>
      </c>
      <c r="AQ124" s="249">
        <v>31.2831110216617</v>
      </c>
      <c r="AR124" s="249">
        <v>39.7970115099181</v>
      </c>
      <c r="AS124" s="249">
        <v>12.5827825064459</v>
      </c>
      <c r="AT124" s="241">
        <v>4.0688820181895702</v>
      </c>
    </row>
    <row r="125" spans="1:46" x14ac:dyDescent="0.4">
      <c r="A125" s="251" t="s">
        <v>607</v>
      </c>
      <c r="B125" s="252">
        <v>520</v>
      </c>
      <c r="C125" s="253" t="s">
        <v>608</v>
      </c>
      <c r="D125" s="253" t="s">
        <v>216</v>
      </c>
      <c r="E125" s="253" t="s">
        <v>217</v>
      </c>
      <c r="F125" s="251">
        <v>1.8631010330578528</v>
      </c>
      <c r="G125" s="254" t="e">
        <f t="shared" si="5"/>
        <v>#N/A</v>
      </c>
      <c r="H125" s="254" t="e">
        <f t="shared" si="4"/>
        <v>#N/A</v>
      </c>
      <c r="I125" s="251">
        <v>0.38900000000000001</v>
      </c>
      <c r="J125" s="251" t="e">
        <v>#N/A</v>
      </c>
      <c r="K125" s="251" t="e">
        <v>#N/A</v>
      </c>
      <c r="L125" s="251">
        <v>22.7</v>
      </c>
      <c r="M125" s="251">
        <v>35.4</v>
      </c>
      <c r="N125" s="254" t="e">
        <v>#N/A</v>
      </c>
      <c r="O125" s="254" t="e">
        <v>#N/A</v>
      </c>
      <c r="P125" s="241" t="e">
        <v>#N/A</v>
      </c>
      <c r="Q125" s="241" t="e">
        <v>#N/A</v>
      </c>
      <c r="R125" s="241" t="e">
        <v>#N/A</v>
      </c>
      <c r="S125" s="241" t="e">
        <v>#N/A</v>
      </c>
      <c r="T125" s="241" t="e">
        <v>#N/A</v>
      </c>
      <c r="U125" s="241" t="e">
        <v>#N/A</v>
      </c>
      <c r="V125" s="241" t="e">
        <v>#N/A</v>
      </c>
      <c r="W125" s="241" t="e">
        <v>#N/A</v>
      </c>
      <c r="X125" s="241" t="e">
        <v>#N/A</v>
      </c>
      <c r="Y125" s="241" t="e">
        <v>#N/A</v>
      </c>
      <c r="Z125" s="241" t="e">
        <v>#N/A</v>
      </c>
      <c r="AA125" s="241" t="e">
        <v>#N/A</v>
      </c>
      <c r="AB125" s="241" t="e">
        <v>#N/A</v>
      </c>
      <c r="AC125" s="241" t="e">
        <v>#N/A</v>
      </c>
      <c r="AD125" s="241" t="e">
        <v>#N/A</v>
      </c>
      <c r="AE125" s="241" t="e">
        <v>#N/A</v>
      </c>
      <c r="AF125" s="241" t="e">
        <v>#N/A</v>
      </c>
      <c r="AG125" s="241" t="e">
        <v>#N/A</v>
      </c>
      <c r="AH125" s="241" t="e">
        <v>#N/A</v>
      </c>
      <c r="AI125" s="241" t="e">
        <v>#N/A</v>
      </c>
      <c r="AJ125" s="241" t="e">
        <v>#N/A</v>
      </c>
      <c r="AK125" s="241" t="e">
        <v>#N/A</v>
      </c>
      <c r="AL125" s="241" t="e">
        <v>#N/A</v>
      </c>
      <c r="AM125" s="241" t="e">
        <v>#N/A</v>
      </c>
      <c r="AN125" s="241" t="e">
        <v>#N/A</v>
      </c>
      <c r="AO125" s="241" t="e">
        <v>#N/A</v>
      </c>
      <c r="AP125" s="241" t="e">
        <v>#N/A</v>
      </c>
      <c r="AQ125" s="241" t="e">
        <v>#N/A</v>
      </c>
      <c r="AR125" s="241" t="e">
        <v>#N/A</v>
      </c>
      <c r="AS125" s="241" t="e">
        <v>#N/A</v>
      </c>
      <c r="AT125" s="249" t="e">
        <v>#N/A</v>
      </c>
    </row>
    <row r="126" spans="1:46" x14ac:dyDescent="0.4">
      <c r="A126" s="247" t="s">
        <v>609</v>
      </c>
      <c r="B126" s="248">
        <v>524</v>
      </c>
      <c r="C126" s="249" t="s">
        <v>610</v>
      </c>
      <c r="D126" s="249" t="s">
        <v>611</v>
      </c>
      <c r="E126" s="249" t="s">
        <v>612</v>
      </c>
      <c r="F126" s="247">
        <v>143.58031275720163</v>
      </c>
      <c r="G126" s="250" t="e">
        <f t="shared" si="5"/>
        <v>#N/A</v>
      </c>
      <c r="H126" s="250" t="e">
        <f t="shared" si="4"/>
        <v>#N/A</v>
      </c>
      <c r="I126" s="247">
        <v>1.1830000000000001</v>
      </c>
      <c r="J126" s="247">
        <v>20.922999999999998</v>
      </c>
      <c r="K126" s="247">
        <v>258</v>
      </c>
      <c r="L126" s="247">
        <v>22.2</v>
      </c>
      <c r="M126" s="247">
        <v>35.799999999999997</v>
      </c>
      <c r="N126" s="250">
        <v>13816.472</v>
      </c>
      <c r="O126" s="250">
        <v>14697.227999999999</v>
      </c>
      <c r="P126" s="249">
        <v>4.0730513549334404</v>
      </c>
      <c r="Q126" s="249">
        <v>10.4559036489199</v>
      </c>
      <c r="R126" s="249">
        <v>34.586101285480098</v>
      </c>
      <c r="S126" s="249">
        <v>55.775193551580998</v>
      </c>
      <c r="T126" s="249">
        <v>14.085549480359401</v>
      </c>
      <c r="U126" s="249">
        <v>24.130197636560201</v>
      </c>
      <c r="V126" s="249">
        <v>65.413898714519902</v>
      </c>
      <c r="W126" s="249">
        <v>21.1890922661009</v>
      </c>
      <c r="X126" s="249">
        <v>49.751086963444799</v>
      </c>
      <c r="Y126" s="249">
        <v>57.0607098541509</v>
      </c>
      <c r="Z126" s="249">
        <v>60.067779965826297</v>
      </c>
      <c r="AA126" s="249">
        <v>28.561994697343899</v>
      </c>
      <c r="AB126" s="249">
        <v>38.878687699725397</v>
      </c>
      <c r="AC126" s="249">
        <v>41.046817161428798</v>
      </c>
      <c r="AD126" s="249">
        <v>15.6628117510751</v>
      </c>
      <c r="AE126" s="249">
        <v>5.3461187486935904</v>
      </c>
      <c r="AF126" s="249">
        <v>3.5614470973710102</v>
      </c>
      <c r="AG126" s="249">
        <v>9.2704079980252008</v>
      </c>
      <c r="AH126" s="249">
        <v>30.8572949946752</v>
      </c>
      <c r="AI126" s="249">
        <v>51.5212800672344</v>
      </c>
      <c r="AJ126" s="249">
        <v>12.628013935689101</v>
      </c>
      <c r="AK126" s="249">
        <v>21.586886996650001</v>
      </c>
      <c r="AL126" s="249">
        <v>69.1427050053248</v>
      </c>
      <c r="AM126" s="249">
        <v>20.663985072559299</v>
      </c>
      <c r="AN126" s="249">
        <v>53.385706474717502</v>
      </c>
      <c r="AO126" s="249">
        <v>60.283496996848697</v>
      </c>
      <c r="AP126" s="249">
        <v>63.406602932199199</v>
      </c>
      <c r="AQ126" s="249">
        <v>32.721721402158302</v>
      </c>
      <c r="AR126" s="249">
        <v>42.7426178596399</v>
      </c>
      <c r="AS126" s="249">
        <v>15.7569985306073</v>
      </c>
      <c r="AT126" s="241">
        <v>5.7361020731256298</v>
      </c>
    </row>
    <row r="127" spans="1:46" x14ac:dyDescent="0.4">
      <c r="A127" s="251" t="s">
        <v>613</v>
      </c>
      <c r="B127" s="252">
        <v>528</v>
      </c>
      <c r="C127" s="253" t="s">
        <v>614</v>
      </c>
      <c r="D127" s="253" t="s">
        <v>196</v>
      </c>
      <c r="E127" s="253" t="s">
        <v>197</v>
      </c>
      <c r="F127" s="251">
        <v>1.2617355060728741</v>
      </c>
      <c r="G127" s="254" t="e">
        <f t="shared" si="5"/>
        <v>#N/A</v>
      </c>
      <c r="H127" s="254" t="e">
        <f t="shared" si="4"/>
        <v>#N/A</v>
      </c>
      <c r="I127" s="251">
        <v>0.35</v>
      </c>
      <c r="J127" s="251">
        <v>10.199999999999999</v>
      </c>
      <c r="K127" s="251">
        <v>7</v>
      </c>
      <c r="L127" s="251">
        <v>2.4</v>
      </c>
      <c r="M127" s="251">
        <v>3.8</v>
      </c>
      <c r="N127" s="254">
        <v>8400.6260000000002</v>
      </c>
      <c r="O127" s="254">
        <v>8524.3029999999999</v>
      </c>
      <c r="P127" s="241">
        <v>2.1759330792728999</v>
      </c>
      <c r="Q127" s="241">
        <v>5.4067518301612303</v>
      </c>
      <c r="R127" s="241">
        <v>17.076536915225098</v>
      </c>
      <c r="S127" s="241">
        <v>29.369180344417199</v>
      </c>
      <c r="T127" s="241">
        <v>6.8048381156356603</v>
      </c>
      <c r="U127" s="241">
        <v>11.6697850850639</v>
      </c>
      <c r="V127" s="241">
        <v>82.923463084774895</v>
      </c>
      <c r="W127" s="241">
        <v>12.292643429192101</v>
      </c>
      <c r="X127" s="241">
        <v>45.1804901206172</v>
      </c>
      <c r="Y127" s="241">
        <v>59.973375793661098</v>
      </c>
      <c r="Z127" s="241">
        <v>66.271846883791696</v>
      </c>
      <c r="AA127" s="241">
        <v>32.887846691425104</v>
      </c>
      <c r="AB127" s="241">
        <v>53.979203454599698</v>
      </c>
      <c r="AC127" s="241">
        <v>60.1829077975855</v>
      </c>
      <c r="AD127" s="241">
        <v>37.742972964157701</v>
      </c>
      <c r="AE127" s="241">
        <v>16.651616200983099</v>
      </c>
      <c r="AF127" s="241">
        <v>2.03574415409682</v>
      </c>
      <c r="AG127" s="241">
        <v>5.0484714116802296</v>
      </c>
      <c r="AH127" s="241">
        <v>15.9780336292598</v>
      </c>
      <c r="AI127" s="241">
        <v>27.523798719965701</v>
      </c>
      <c r="AJ127" s="241">
        <v>6.3601563670366996</v>
      </c>
      <c r="AK127" s="241">
        <v>10.9295622175795</v>
      </c>
      <c r="AL127" s="241">
        <v>84.021966370740202</v>
      </c>
      <c r="AM127" s="241">
        <v>11.545765090705901</v>
      </c>
      <c r="AN127" s="241">
        <v>43.5508803476366</v>
      </c>
      <c r="AO127" s="241">
        <v>57.9744056493534</v>
      </c>
      <c r="AP127" s="241">
        <v>64.235550988743597</v>
      </c>
      <c r="AQ127" s="241">
        <v>32.005115256930701</v>
      </c>
      <c r="AR127" s="241">
        <v>52.689785898037599</v>
      </c>
      <c r="AS127" s="241">
        <v>40.471086023103602</v>
      </c>
      <c r="AT127" s="249">
        <v>19.786415381996601</v>
      </c>
    </row>
    <row r="128" spans="1:46" x14ac:dyDescent="0.4">
      <c r="A128" s="247" t="s">
        <v>615</v>
      </c>
      <c r="B128" s="248">
        <v>554</v>
      </c>
      <c r="C128" s="249" t="s">
        <v>616</v>
      </c>
      <c r="D128" s="249" t="s">
        <v>327</v>
      </c>
      <c r="E128" s="249" t="s">
        <v>328</v>
      </c>
      <c r="F128" s="247">
        <v>2.0092387136929473</v>
      </c>
      <c r="G128" s="250" t="e">
        <f t="shared" si="5"/>
        <v>#N/A</v>
      </c>
      <c r="H128" s="250" t="e">
        <f t="shared" si="4"/>
        <v>#N/A</v>
      </c>
      <c r="I128" s="247">
        <v>0.71699999999999997</v>
      </c>
      <c r="J128" s="247">
        <v>13.12</v>
      </c>
      <c r="K128" s="247">
        <v>11</v>
      </c>
      <c r="L128" s="247">
        <v>3.1</v>
      </c>
      <c r="M128" s="247">
        <v>5.7</v>
      </c>
      <c r="N128" s="250">
        <v>2213.123</v>
      </c>
      <c r="O128" s="250">
        <v>2315.4029999999998</v>
      </c>
      <c r="P128" s="249">
        <v>2.7884577585610901</v>
      </c>
      <c r="Q128" s="249">
        <v>7.1564029654022798</v>
      </c>
      <c r="R128" s="249">
        <v>21.192992888330199</v>
      </c>
      <c r="S128" s="249">
        <v>35.701946977190097</v>
      </c>
      <c r="T128" s="249">
        <v>8.5830746867661691</v>
      </c>
      <c r="U128" s="249">
        <v>14.036589922927901</v>
      </c>
      <c r="V128" s="249">
        <v>78.807007111669805</v>
      </c>
      <c r="W128" s="249">
        <v>14.5089540888599</v>
      </c>
      <c r="X128" s="249">
        <v>45.829084059042302</v>
      </c>
      <c r="Y128" s="249">
        <v>59.2265319189218</v>
      </c>
      <c r="Z128" s="249">
        <v>64.682758256093294</v>
      </c>
      <c r="AA128" s="249">
        <v>31.3201299701824</v>
      </c>
      <c r="AB128" s="249">
        <v>50.173804167233399</v>
      </c>
      <c r="AC128" s="249">
        <v>55.265206678526198</v>
      </c>
      <c r="AD128" s="249">
        <v>32.977923052627403</v>
      </c>
      <c r="AE128" s="249">
        <v>14.1242488555765</v>
      </c>
      <c r="AF128" s="249">
        <v>2.53135199358384</v>
      </c>
      <c r="AG128" s="249">
        <v>6.4958454316592</v>
      </c>
      <c r="AH128" s="249">
        <v>19.2643785984556</v>
      </c>
      <c r="AI128" s="249">
        <v>32.6353554867122</v>
      </c>
      <c r="AJ128" s="249">
        <v>7.80516393906374</v>
      </c>
      <c r="AK128" s="249">
        <v>12.7685331667965</v>
      </c>
      <c r="AL128" s="249">
        <v>80.735621401544293</v>
      </c>
      <c r="AM128" s="249">
        <v>13.3709768882566</v>
      </c>
      <c r="AN128" s="249">
        <v>45.940209976405797</v>
      </c>
      <c r="AO128" s="249">
        <v>59.671944797514698</v>
      </c>
      <c r="AP128" s="249">
        <v>65.169432707826701</v>
      </c>
      <c r="AQ128" s="249">
        <v>32.569233088149197</v>
      </c>
      <c r="AR128" s="249">
        <v>51.798455819570101</v>
      </c>
      <c r="AS128" s="249">
        <v>34.795411425138496</v>
      </c>
      <c r="AT128" s="241">
        <v>15.566188693717701</v>
      </c>
    </row>
    <row r="129" spans="1:46" x14ac:dyDescent="0.4">
      <c r="A129" s="251" t="s">
        <v>617</v>
      </c>
      <c r="B129" s="252">
        <v>558</v>
      </c>
      <c r="C129" s="253" t="s">
        <v>618</v>
      </c>
      <c r="D129" s="253" t="s">
        <v>619</v>
      </c>
      <c r="E129" s="253" t="s">
        <v>620</v>
      </c>
      <c r="F129" s="251">
        <v>1</v>
      </c>
      <c r="G129" s="254" t="e">
        <f t="shared" si="5"/>
        <v>#N/A</v>
      </c>
      <c r="H129" s="254" t="e">
        <f t="shared" si="4"/>
        <v>#N/A</v>
      </c>
      <c r="I129" s="251">
        <v>1.1659999999999999</v>
      </c>
      <c r="J129" s="251">
        <v>20.788</v>
      </c>
      <c r="K129" s="251">
        <v>150</v>
      </c>
      <c r="L129" s="251">
        <v>9.8000000000000007</v>
      </c>
      <c r="M129" s="251">
        <v>22.1</v>
      </c>
      <c r="N129" s="254">
        <v>2997.973</v>
      </c>
      <c r="O129" s="254">
        <v>3084.0590000000002</v>
      </c>
      <c r="P129" s="241">
        <v>4.0434320122295997</v>
      </c>
      <c r="Q129" s="241">
        <v>10.322174349135199</v>
      </c>
      <c r="R129" s="241">
        <v>31.2893078089763</v>
      </c>
      <c r="S129" s="241">
        <v>51.726683329036</v>
      </c>
      <c r="T129" s="241">
        <v>12.672629139755401</v>
      </c>
      <c r="U129" s="241">
        <v>20.967133459841001</v>
      </c>
      <c r="V129" s="241">
        <v>68.710692191023796</v>
      </c>
      <c r="W129" s="241">
        <v>20.4373755200597</v>
      </c>
      <c r="X129" s="241">
        <v>54.841688033881603</v>
      </c>
      <c r="Y129" s="241">
        <v>61.738548012273597</v>
      </c>
      <c r="Z129" s="241">
        <v>64.1799976183908</v>
      </c>
      <c r="AA129" s="241">
        <v>34.4043125138219</v>
      </c>
      <c r="AB129" s="241">
        <v>43.742622098331097</v>
      </c>
      <c r="AC129" s="241">
        <v>45.169452826960097</v>
      </c>
      <c r="AD129" s="241">
        <v>13.8690041571422</v>
      </c>
      <c r="AE129" s="241">
        <v>4.5306945726329104</v>
      </c>
      <c r="AF129" s="241">
        <v>3.7744089850421201</v>
      </c>
      <c r="AG129" s="241">
        <v>9.6007242403598596</v>
      </c>
      <c r="AH129" s="241">
        <v>28.814299596732798</v>
      </c>
      <c r="AI129" s="241">
        <v>47.678594994453697</v>
      </c>
      <c r="AJ129" s="241">
        <v>11.6477343656525</v>
      </c>
      <c r="AK129" s="241">
        <v>19.2135753563729</v>
      </c>
      <c r="AL129" s="241">
        <v>71.185700403267305</v>
      </c>
      <c r="AM129" s="241">
        <v>18.864295397721001</v>
      </c>
      <c r="AN129" s="241">
        <v>54.697494438336001</v>
      </c>
      <c r="AO129" s="241">
        <v>62.634858801339398</v>
      </c>
      <c r="AP129" s="241">
        <v>65.561164685889594</v>
      </c>
      <c r="AQ129" s="241">
        <v>35.833199040615</v>
      </c>
      <c r="AR129" s="241">
        <v>46.6968692881686</v>
      </c>
      <c r="AS129" s="241">
        <v>16.4882059649313</v>
      </c>
      <c r="AT129" s="249">
        <v>5.6245357173776496</v>
      </c>
    </row>
    <row r="130" spans="1:46" x14ac:dyDescent="0.4">
      <c r="A130" s="247" t="s">
        <v>621</v>
      </c>
      <c r="B130" s="248">
        <v>562</v>
      </c>
      <c r="C130" s="249" t="s">
        <v>622</v>
      </c>
      <c r="D130" s="249" t="s">
        <v>252</v>
      </c>
      <c r="E130" s="249" t="s">
        <v>253</v>
      </c>
      <c r="F130" s="247">
        <v>1</v>
      </c>
      <c r="G130" s="250" t="e">
        <f t="shared" si="5"/>
        <v>#N/A</v>
      </c>
      <c r="H130" s="250" t="e">
        <f t="shared" si="4"/>
        <v>#N/A</v>
      </c>
      <c r="I130" s="247">
        <v>4</v>
      </c>
      <c r="J130" s="247">
        <v>49.661000000000001</v>
      </c>
      <c r="K130" s="247">
        <v>553</v>
      </c>
      <c r="L130" s="247">
        <v>26.8</v>
      </c>
      <c r="M130" s="247">
        <v>95.5</v>
      </c>
      <c r="N130" s="250">
        <v>10029.155000000001</v>
      </c>
      <c r="O130" s="250">
        <v>9869.9650000000001</v>
      </c>
      <c r="P130" s="249">
        <v>9.0466843916561306</v>
      </c>
      <c r="Q130" s="249">
        <v>21.0735700066456</v>
      </c>
      <c r="R130" s="249">
        <v>51.133290890409</v>
      </c>
      <c r="S130" s="249">
        <v>68.422314741371494</v>
      </c>
      <c r="T130" s="249">
        <v>19.6443369356641</v>
      </c>
      <c r="U130" s="249">
        <v>30.059720883763401</v>
      </c>
      <c r="V130" s="249">
        <v>48.866709109591</v>
      </c>
      <c r="W130" s="249">
        <v>17.289023850962501</v>
      </c>
      <c r="X130" s="249">
        <v>38.9606302824116</v>
      </c>
      <c r="Y130" s="249">
        <v>44.741516109781898</v>
      </c>
      <c r="Z130" s="249">
        <v>46.483158351825303</v>
      </c>
      <c r="AA130" s="249">
        <v>21.671606431449099</v>
      </c>
      <c r="AB130" s="249">
        <v>29.194134500862699</v>
      </c>
      <c r="AC130" s="249">
        <v>30.338667614569701</v>
      </c>
      <c r="AD130" s="249">
        <v>9.9060788271793605</v>
      </c>
      <c r="AE130" s="249">
        <v>2.3835507577657302</v>
      </c>
      <c r="AF130" s="249">
        <v>8.8358064086346797</v>
      </c>
      <c r="AG130" s="249">
        <v>20.580154032967702</v>
      </c>
      <c r="AH130" s="249">
        <v>49.787096509460802</v>
      </c>
      <c r="AI130" s="249">
        <v>68.213463776213999</v>
      </c>
      <c r="AJ130" s="249">
        <v>19.073005831327698</v>
      </c>
      <c r="AK130" s="249">
        <v>29.206942476493101</v>
      </c>
      <c r="AL130" s="249">
        <v>50.212903490539198</v>
      </c>
      <c r="AM130" s="249">
        <v>18.4263672667532</v>
      </c>
      <c r="AN130" s="249">
        <v>41.4059421689945</v>
      </c>
      <c r="AO130" s="249">
        <v>45.922705906251899</v>
      </c>
      <c r="AP130" s="249">
        <v>47.433146926052899</v>
      </c>
      <c r="AQ130" s="249">
        <v>22.9795749022413</v>
      </c>
      <c r="AR130" s="249">
        <v>29.006779659299699</v>
      </c>
      <c r="AS130" s="249">
        <v>8.8069613215447102</v>
      </c>
      <c r="AT130" s="241">
        <v>2.7797565644862998</v>
      </c>
    </row>
    <row r="131" spans="1:46" x14ac:dyDescent="0.4">
      <c r="A131" s="251" t="s">
        <v>623</v>
      </c>
      <c r="B131" s="252">
        <v>566</v>
      </c>
      <c r="C131" s="253" t="s">
        <v>624</v>
      </c>
      <c r="D131" s="253" t="s">
        <v>625</v>
      </c>
      <c r="E131" s="253" t="s">
        <v>626</v>
      </c>
      <c r="F131" s="251">
        <v>1</v>
      </c>
      <c r="G131" s="254" t="e">
        <f t="shared" si="5"/>
        <v>#N/A</v>
      </c>
      <c r="H131" s="254" t="e">
        <f t="shared" si="4"/>
        <v>#N/A</v>
      </c>
      <c r="I131" s="251">
        <v>2.6709999999999998</v>
      </c>
      <c r="J131" s="251">
        <v>40.045000000000002</v>
      </c>
      <c r="K131" s="251">
        <v>814</v>
      </c>
      <c r="L131" s="251">
        <v>34.299999999999997</v>
      </c>
      <c r="M131" s="251">
        <v>108.8</v>
      </c>
      <c r="N131" s="254">
        <v>92788.95</v>
      </c>
      <c r="O131" s="254">
        <v>89413.012000000002</v>
      </c>
      <c r="P131" s="241">
        <v>7.2142588099121703</v>
      </c>
      <c r="Q131" s="241">
        <v>17.173592329690099</v>
      </c>
      <c r="R131" s="241">
        <v>44.2550799421698</v>
      </c>
      <c r="S131" s="241">
        <v>63.410343580781998</v>
      </c>
      <c r="T131" s="241">
        <v>17.276414917940102</v>
      </c>
      <c r="U131" s="241">
        <v>27.081487612479702</v>
      </c>
      <c r="V131" s="241">
        <v>55.7449200578302</v>
      </c>
      <c r="W131" s="241">
        <v>19.155263638612102</v>
      </c>
      <c r="X131" s="241">
        <v>46.529584611098599</v>
      </c>
      <c r="Y131" s="241">
        <v>51.523701906315303</v>
      </c>
      <c r="Z131" s="241">
        <v>53.173036228990597</v>
      </c>
      <c r="AA131" s="241">
        <v>27.374320972486501</v>
      </c>
      <c r="AB131" s="241">
        <v>34.017772590378499</v>
      </c>
      <c r="AC131" s="241">
        <v>35.245533007971297</v>
      </c>
      <c r="AD131" s="241">
        <v>9.2153354467315296</v>
      </c>
      <c r="AE131" s="241">
        <v>2.57188382883953</v>
      </c>
      <c r="AF131" s="241">
        <v>7.12168716562193</v>
      </c>
      <c r="AG131" s="241">
        <v>16.9706462858001</v>
      </c>
      <c r="AH131" s="241">
        <v>43.7132136875112</v>
      </c>
      <c r="AI131" s="241">
        <v>62.613147401856899</v>
      </c>
      <c r="AJ131" s="241">
        <v>17.078159720198201</v>
      </c>
      <c r="AK131" s="241">
        <v>26.742567401711099</v>
      </c>
      <c r="AL131" s="241">
        <v>56.2867863124888</v>
      </c>
      <c r="AM131" s="241">
        <v>18.8999337143457</v>
      </c>
      <c r="AN131" s="241">
        <v>46.260151710357299</v>
      </c>
      <c r="AO131" s="241">
        <v>51.543114328818298</v>
      </c>
      <c r="AP131" s="241">
        <v>53.3790070733777</v>
      </c>
      <c r="AQ131" s="241">
        <v>27.360217996011599</v>
      </c>
      <c r="AR131" s="241">
        <v>34.479073359031901</v>
      </c>
      <c r="AS131" s="241">
        <v>10.0266346021315</v>
      </c>
      <c r="AT131" s="249">
        <v>2.9077792391111901</v>
      </c>
    </row>
    <row r="132" spans="1:46" x14ac:dyDescent="0.4">
      <c r="A132" s="247" t="s">
        <v>627</v>
      </c>
      <c r="B132" s="248">
        <v>570</v>
      </c>
      <c r="C132" s="249" t="s">
        <v>628</v>
      </c>
      <c r="D132" s="249" t="s">
        <v>327</v>
      </c>
      <c r="E132" s="249" t="s">
        <v>328</v>
      </c>
      <c r="F132" s="247">
        <v>2.0092387136929473</v>
      </c>
      <c r="G132" s="250" t="e">
        <f t="shared" si="5"/>
        <v>#N/A</v>
      </c>
      <c r="H132" s="250" t="e">
        <f t="shared" si="4"/>
        <v>#N/A</v>
      </c>
      <c r="I132" s="247">
        <v>-0.13600000000000001</v>
      </c>
      <c r="J132" s="247" t="e">
        <v>#N/A</v>
      </c>
      <c r="K132" s="247" t="e">
        <v>#N/A</v>
      </c>
      <c r="L132" s="247">
        <v>12.5</v>
      </c>
      <c r="M132" s="247">
        <v>23</v>
      </c>
      <c r="N132" s="250" t="e">
        <v>#N/A</v>
      </c>
      <c r="O132" s="250" t="e">
        <v>#N/A</v>
      </c>
      <c r="P132" s="249" t="e">
        <v>#N/A</v>
      </c>
      <c r="Q132" s="249" t="e">
        <v>#N/A</v>
      </c>
      <c r="R132" s="249" t="e">
        <v>#N/A</v>
      </c>
      <c r="S132" s="249" t="e">
        <v>#N/A</v>
      </c>
      <c r="T132" s="249" t="e">
        <v>#N/A</v>
      </c>
      <c r="U132" s="249" t="e">
        <v>#N/A</v>
      </c>
      <c r="V132" s="249" t="e">
        <v>#N/A</v>
      </c>
      <c r="W132" s="249" t="e">
        <v>#N/A</v>
      </c>
      <c r="X132" s="249" t="e">
        <v>#N/A</v>
      </c>
      <c r="Y132" s="249" t="e">
        <v>#N/A</v>
      </c>
      <c r="Z132" s="249" t="e">
        <v>#N/A</v>
      </c>
      <c r="AA132" s="249" t="e">
        <v>#N/A</v>
      </c>
      <c r="AB132" s="249" t="e">
        <v>#N/A</v>
      </c>
      <c r="AC132" s="249" t="e">
        <v>#N/A</v>
      </c>
      <c r="AD132" s="249" t="e">
        <v>#N/A</v>
      </c>
      <c r="AE132" s="249" t="e">
        <v>#N/A</v>
      </c>
      <c r="AF132" s="249" t="e">
        <v>#N/A</v>
      </c>
      <c r="AG132" s="249" t="e">
        <v>#N/A</v>
      </c>
      <c r="AH132" s="249" t="e">
        <v>#N/A</v>
      </c>
      <c r="AI132" s="249" t="e">
        <v>#N/A</v>
      </c>
      <c r="AJ132" s="249" t="e">
        <v>#N/A</v>
      </c>
      <c r="AK132" s="249" t="e">
        <v>#N/A</v>
      </c>
      <c r="AL132" s="249" t="e">
        <v>#N/A</v>
      </c>
      <c r="AM132" s="249" t="e">
        <v>#N/A</v>
      </c>
      <c r="AN132" s="249" t="e">
        <v>#N/A</v>
      </c>
      <c r="AO132" s="249" t="e">
        <v>#N/A</v>
      </c>
      <c r="AP132" s="249" t="e">
        <v>#N/A</v>
      </c>
      <c r="AQ132" s="249" t="e">
        <v>#N/A</v>
      </c>
      <c r="AR132" s="249" t="e">
        <v>#N/A</v>
      </c>
      <c r="AS132" s="249" t="e">
        <v>#N/A</v>
      </c>
      <c r="AT132" s="241" t="e">
        <v>#N/A</v>
      </c>
    </row>
    <row r="133" spans="1:46" x14ac:dyDescent="0.4">
      <c r="A133" s="251" t="s">
        <v>629</v>
      </c>
      <c r="B133" s="252">
        <v>578</v>
      </c>
      <c r="C133" s="253" t="s">
        <v>630</v>
      </c>
      <c r="D133" s="253" t="s">
        <v>631</v>
      </c>
      <c r="E133" s="253" t="s">
        <v>632</v>
      </c>
      <c r="F133" s="251">
        <v>11.295781069958853</v>
      </c>
      <c r="G133" s="254" t="e">
        <f t="shared" si="5"/>
        <v>#N/A</v>
      </c>
      <c r="H133" s="254" t="e">
        <f t="shared" si="4"/>
        <v>#N/A</v>
      </c>
      <c r="I133" s="251">
        <v>1.266</v>
      </c>
      <c r="J133" s="251">
        <v>11.6</v>
      </c>
      <c r="K133" s="251">
        <v>5</v>
      </c>
      <c r="L133" s="251">
        <v>1.5</v>
      </c>
      <c r="M133" s="251">
        <v>2.6</v>
      </c>
      <c r="N133" s="254">
        <v>2624.8040000000001</v>
      </c>
      <c r="O133" s="254">
        <v>2586.163</v>
      </c>
      <c r="P133" s="241">
        <v>2.39655989551982</v>
      </c>
      <c r="Q133" s="241">
        <v>6.1515831277306798</v>
      </c>
      <c r="R133" s="241">
        <v>18.2642208713489</v>
      </c>
      <c r="S133" s="241">
        <v>31.659659159312501</v>
      </c>
      <c r="T133" s="241">
        <v>7.3766269786239302</v>
      </c>
      <c r="U133" s="241">
        <v>12.112637743618199</v>
      </c>
      <c r="V133" s="241">
        <v>81.735779128651103</v>
      </c>
      <c r="W133" s="241">
        <v>13.3954382879636</v>
      </c>
      <c r="X133" s="241">
        <v>48.800862845378198</v>
      </c>
      <c r="Y133" s="241">
        <v>61.522765128367702</v>
      </c>
      <c r="Z133" s="241">
        <v>66.951551430125804</v>
      </c>
      <c r="AA133" s="241">
        <v>35.405424557414598</v>
      </c>
      <c r="AB133" s="241">
        <v>53.556113142162197</v>
      </c>
      <c r="AC133" s="241">
        <v>59.287398220971902</v>
      </c>
      <c r="AD133" s="241">
        <v>32.934916283272997</v>
      </c>
      <c r="AE133" s="241">
        <v>14.784227698525299</v>
      </c>
      <c r="AF133" s="241">
        <v>2.3233261012550299</v>
      </c>
      <c r="AG133" s="241">
        <v>5.9265405931490003</v>
      </c>
      <c r="AH133" s="241">
        <v>17.6684532258794</v>
      </c>
      <c r="AI133" s="241">
        <v>30.488062817386201</v>
      </c>
      <c r="AJ133" s="241">
        <v>7.1206261940952702</v>
      </c>
      <c r="AK133" s="241">
        <v>11.741912632730401</v>
      </c>
      <c r="AL133" s="241">
        <v>82.331546774120596</v>
      </c>
      <c r="AM133" s="241">
        <v>12.819609591506801</v>
      </c>
      <c r="AN133" s="241">
        <v>46.647175758063199</v>
      </c>
      <c r="AO133" s="241">
        <v>59.0111682828963</v>
      </c>
      <c r="AP133" s="241">
        <v>64.426797537510197</v>
      </c>
      <c r="AQ133" s="241">
        <v>33.827566166556402</v>
      </c>
      <c r="AR133" s="241">
        <v>51.6071879460034</v>
      </c>
      <c r="AS133" s="241">
        <v>35.684371016057398</v>
      </c>
      <c r="AT133" s="249">
        <v>17.9047492366104</v>
      </c>
    </row>
    <row r="134" spans="1:46" x14ac:dyDescent="0.4">
      <c r="A134" s="247" t="s">
        <v>633</v>
      </c>
      <c r="B134" s="248">
        <v>512</v>
      </c>
      <c r="C134" s="249" t="s">
        <v>634</v>
      </c>
      <c r="D134" s="249" t="s">
        <v>635</v>
      </c>
      <c r="E134" s="249" t="s">
        <v>636</v>
      </c>
      <c r="F134" s="247">
        <v>0.53784271774193526</v>
      </c>
      <c r="G134" s="250" t="e">
        <f t="shared" ref="G134:G165" si="6">VLOOKUP($B134,pop_lookup,MATCH(baseline_year,year_lookup,0),FALSE)</f>
        <v>#N/A</v>
      </c>
      <c r="H134" s="250" t="e">
        <f t="shared" si="4"/>
        <v>#N/A</v>
      </c>
      <c r="I134" s="247">
        <v>8.4459999999999997</v>
      </c>
      <c r="J134" s="247">
        <v>20.419</v>
      </c>
      <c r="K134" s="247">
        <v>17</v>
      </c>
      <c r="L134" s="247">
        <v>5.2</v>
      </c>
      <c r="M134" s="247">
        <v>11.6</v>
      </c>
      <c r="N134" s="250">
        <v>2978.627</v>
      </c>
      <c r="O134" s="250">
        <v>1511.914</v>
      </c>
      <c r="P134" s="249">
        <v>2.7640251699860401</v>
      </c>
      <c r="Q134" s="249">
        <v>6.6352047436620998</v>
      </c>
      <c r="R134" s="249">
        <v>15.7032417956327</v>
      </c>
      <c r="S134" s="249">
        <v>30.5199677569565</v>
      </c>
      <c r="T134" s="249">
        <v>6.0311680515888701</v>
      </c>
      <c r="U134" s="249">
        <v>9.06803705197059</v>
      </c>
      <c r="V134" s="249">
        <v>84.296758204367293</v>
      </c>
      <c r="W134" s="249">
        <v>14.816725961323799</v>
      </c>
      <c r="X134" s="249">
        <v>74.468840845127602</v>
      </c>
      <c r="Y134" s="249">
        <v>80.459486870964398</v>
      </c>
      <c r="Z134" s="249">
        <v>82.169972943909997</v>
      </c>
      <c r="AA134" s="249">
        <v>59.652114883803797</v>
      </c>
      <c r="AB134" s="249">
        <v>67.353246982586299</v>
      </c>
      <c r="AC134" s="249">
        <v>68.239024221562502</v>
      </c>
      <c r="AD134" s="249">
        <v>9.8279173592396791</v>
      </c>
      <c r="AE134" s="249">
        <v>2.1267852604572499</v>
      </c>
      <c r="AF134" s="249">
        <v>5.1380567942356503</v>
      </c>
      <c r="AG134" s="249">
        <v>12.4117509329234</v>
      </c>
      <c r="AH134" s="249">
        <v>30.011892210800401</v>
      </c>
      <c r="AI134" s="249">
        <v>49.1229659888062</v>
      </c>
      <c r="AJ134" s="249">
        <v>11.7166717154547</v>
      </c>
      <c r="AK134" s="249">
        <v>17.600141277876901</v>
      </c>
      <c r="AL134" s="249">
        <v>69.988107789199603</v>
      </c>
      <c r="AM134" s="249">
        <v>19.111073778005899</v>
      </c>
      <c r="AN134" s="249">
        <v>59.4297030122084</v>
      </c>
      <c r="AO134" s="249">
        <v>64.609693408487502</v>
      </c>
      <c r="AP134" s="249">
        <v>66.512116429902804</v>
      </c>
      <c r="AQ134" s="249">
        <v>40.318629234202497</v>
      </c>
      <c r="AR134" s="249">
        <v>47.401042651896901</v>
      </c>
      <c r="AS134" s="249">
        <v>10.558404776991299</v>
      </c>
      <c r="AT134" s="241">
        <v>3.4759913592968901</v>
      </c>
    </row>
    <row r="135" spans="1:46" x14ac:dyDescent="0.4">
      <c r="A135" s="251" t="s">
        <v>637</v>
      </c>
      <c r="B135" s="252">
        <v>586</v>
      </c>
      <c r="C135" s="253" t="s">
        <v>638</v>
      </c>
      <c r="D135" s="253" t="s">
        <v>639</v>
      </c>
      <c r="E135" s="253" t="s">
        <v>640</v>
      </c>
      <c r="F135" s="251">
        <v>143.72693277310933</v>
      </c>
      <c r="G135" s="254" t="e">
        <f t="shared" si="6"/>
        <v>#N/A</v>
      </c>
      <c r="H135" s="254" t="e">
        <f t="shared" ref="H135:H198" si="7">G135*1000</f>
        <v>#N/A</v>
      </c>
      <c r="I135" s="251">
        <v>2.1059999999999999</v>
      </c>
      <c r="J135" s="251">
        <v>29.582000000000001</v>
      </c>
      <c r="K135" s="251">
        <v>178</v>
      </c>
      <c r="L135" s="251">
        <v>45.5</v>
      </c>
      <c r="M135" s="251">
        <v>81.099999999999994</v>
      </c>
      <c r="N135" s="254">
        <v>97052.303</v>
      </c>
      <c r="O135" s="254">
        <v>91872.570999999996</v>
      </c>
      <c r="P135" s="241">
        <v>5.4145814551149796</v>
      </c>
      <c r="Q135" s="241">
        <v>13.1809679982555</v>
      </c>
      <c r="R135" s="241">
        <v>35.369740788119202</v>
      </c>
      <c r="S135" s="241">
        <v>55.331447415524003</v>
      </c>
      <c r="T135" s="241">
        <v>13.906283089438899</v>
      </c>
      <c r="U135" s="241">
        <v>22.188772789863599</v>
      </c>
      <c r="V135" s="241">
        <v>64.630259211880897</v>
      </c>
      <c r="W135" s="241">
        <v>19.961706627404801</v>
      </c>
      <c r="X135" s="241">
        <v>51.452019639348499</v>
      </c>
      <c r="Y135" s="241">
        <v>58.062946739141303</v>
      </c>
      <c r="Z135" s="241">
        <v>60.133508629877703</v>
      </c>
      <c r="AA135" s="241">
        <v>31.490313011943702</v>
      </c>
      <c r="AB135" s="241">
        <v>40.171802002472802</v>
      </c>
      <c r="AC135" s="241">
        <v>41.865931816167198</v>
      </c>
      <c r="AD135" s="241">
        <v>13.1782395725324</v>
      </c>
      <c r="AE135" s="241">
        <v>4.4967505820031901</v>
      </c>
      <c r="AF135" s="241">
        <v>5.2825059178979599</v>
      </c>
      <c r="AG135" s="241">
        <v>12.921476857330999</v>
      </c>
      <c r="AH135" s="241">
        <v>34.629643705083701</v>
      </c>
      <c r="AI135" s="241">
        <v>54.498897173564501</v>
      </c>
      <c r="AJ135" s="241">
        <v>13.648730914474999</v>
      </c>
      <c r="AK135" s="241">
        <v>21.708166847752601</v>
      </c>
      <c r="AL135" s="241">
        <v>65.370356294916405</v>
      </c>
      <c r="AM135" s="241">
        <v>19.8692534684808</v>
      </c>
      <c r="AN135" s="241">
        <v>51.927633547993402</v>
      </c>
      <c r="AO135" s="241">
        <v>58.728305317590397</v>
      </c>
      <c r="AP135" s="241">
        <v>60.882591388457001</v>
      </c>
      <c r="AQ135" s="241">
        <v>32.058380079512503</v>
      </c>
      <c r="AR135" s="241">
        <v>41.013337919976202</v>
      </c>
      <c r="AS135" s="241">
        <v>13.442722746923</v>
      </c>
      <c r="AT135" s="249">
        <v>4.4877649064594101</v>
      </c>
    </row>
    <row r="136" spans="1:46" x14ac:dyDescent="0.4">
      <c r="A136" s="247" t="s">
        <v>641</v>
      </c>
      <c r="B136" s="248">
        <v>585</v>
      </c>
      <c r="C136" s="249" t="s">
        <v>642</v>
      </c>
      <c r="D136" s="249" t="s">
        <v>374</v>
      </c>
      <c r="E136" s="249" t="s">
        <v>375</v>
      </c>
      <c r="F136" s="247">
        <v>1.3988592400000002</v>
      </c>
      <c r="G136" s="250" t="e">
        <f t="shared" si="6"/>
        <v>#N/A</v>
      </c>
      <c r="H136" s="250" t="e">
        <f t="shared" si="7"/>
        <v>#N/A</v>
      </c>
      <c r="I136" s="247">
        <v>0.78600000000000003</v>
      </c>
      <c r="J136" s="247">
        <v>13.1</v>
      </c>
      <c r="K136" s="247">
        <v>0</v>
      </c>
      <c r="L136" s="247">
        <v>9</v>
      </c>
      <c r="M136" s="247">
        <v>16.399999999999999</v>
      </c>
      <c r="N136" s="250" t="e">
        <v>#N/A</v>
      </c>
      <c r="O136" s="250" t="e">
        <v>#N/A</v>
      </c>
      <c r="P136" s="249" t="e">
        <v>#N/A</v>
      </c>
      <c r="Q136" s="249" t="e">
        <v>#N/A</v>
      </c>
      <c r="R136" s="249" t="e">
        <v>#N/A</v>
      </c>
      <c r="S136" s="249" t="e">
        <v>#N/A</v>
      </c>
      <c r="T136" s="249" t="e">
        <v>#N/A</v>
      </c>
      <c r="U136" s="249" t="e">
        <v>#N/A</v>
      </c>
      <c r="V136" s="249" t="e">
        <v>#N/A</v>
      </c>
      <c r="W136" s="249" t="e">
        <v>#N/A</v>
      </c>
      <c r="X136" s="249" t="e">
        <v>#N/A</v>
      </c>
      <c r="Y136" s="249" t="e">
        <v>#N/A</v>
      </c>
      <c r="Z136" s="249" t="e">
        <v>#N/A</v>
      </c>
      <c r="AA136" s="249" t="e">
        <v>#N/A</v>
      </c>
      <c r="AB136" s="249" t="e">
        <v>#N/A</v>
      </c>
      <c r="AC136" s="249" t="e">
        <v>#N/A</v>
      </c>
      <c r="AD136" s="249" t="e">
        <v>#N/A</v>
      </c>
      <c r="AE136" s="249" t="e">
        <v>#N/A</v>
      </c>
      <c r="AF136" s="249" t="e">
        <v>#N/A</v>
      </c>
      <c r="AG136" s="249" t="e">
        <v>#N/A</v>
      </c>
      <c r="AH136" s="249" t="e">
        <v>#N/A</v>
      </c>
      <c r="AI136" s="249" t="e">
        <v>#N/A</v>
      </c>
      <c r="AJ136" s="249" t="e">
        <v>#N/A</v>
      </c>
      <c r="AK136" s="249" t="e">
        <v>#N/A</v>
      </c>
      <c r="AL136" s="249" t="e">
        <v>#N/A</v>
      </c>
      <c r="AM136" s="249" t="e">
        <v>#N/A</v>
      </c>
      <c r="AN136" s="249" t="e">
        <v>#N/A</v>
      </c>
      <c r="AO136" s="249" t="e">
        <v>#N/A</v>
      </c>
      <c r="AP136" s="249" t="e">
        <v>#N/A</v>
      </c>
      <c r="AQ136" s="249" t="e">
        <v>#N/A</v>
      </c>
      <c r="AR136" s="249" t="e">
        <v>#N/A</v>
      </c>
      <c r="AS136" s="249" t="e">
        <v>#N/A</v>
      </c>
      <c r="AT136" s="241" t="e">
        <v>#N/A</v>
      </c>
    </row>
    <row r="137" spans="1:46" x14ac:dyDescent="0.4">
      <c r="A137" s="251" t="s">
        <v>643</v>
      </c>
      <c r="B137" s="252">
        <v>591</v>
      </c>
      <c r="C137" s="253" t="s">
        <v>644</v>
      </c>
      <c r="D137" s="253" t="s">
        <v>645</v>
      </c>
      <c r="E137" s="253" t="s">
        <v>646</v>
      </c>
      <c r="F137" s="251">
        <v>1</v>
      </c>
      <c r="G137" s="254" t="e">
        <f t="shared" si="6"/>
        <v>#N/A</v>
      </c>
      <c r="H137" s="254" t="e">
        <f t="shared" si="7"/>
        <v>#N/A</v>
      </c>
      <c r="I137" s="251">
        <v>1.6359999999999999</v>
      </c>
      <c r="J137" s="251">
        <v>19.68</v>
      </c>
      <c r="K137" s="251">
        <v>94</v>
      </c>
      <c r="L137" s="251">
        <v>9.6</v>
      </c>
      <c r="M137" s="251">
        <v>17</v>
      </c>
      <c r="N137" s="254">
        <v>1969.74</v>
      </c>
      <c r="O137" s="254">
        <v>1959.4010000000001</v>
      </c>
      <c r="P137" s="241">
        <v>3.8411160863870402</v>
      </c>
      <c r="Q137" s="241">
        <v>9.5500929056626696</v>
      </c>
      <c r="R137" s="241">
        <v>27.643242255322999</v>
      </c>
      <c r="S137" s="241">
        <v>44.778904830079099</v>
      </c>
      <c r="T137" s="241">
        <v>11.0196269558419</v>
      </c>
      <c r="U137" s="241">
        <v>18.093149349660401</v>
      </c>
      <c r="V137" s="241">
        <v>72.356757744676898</v>
      </c>
      <c r="W137" s="241">
        <v>17.1356625747561</v>
      </c>
      <c r="X137" s="241">
        <v>52.765796501060997</v>
      </c>
      <c r="Y137" s="241">
        <v>62.025191141978098</v>
      </c>
      <c r="Z137" s="241">
        <v>65.238051722562403</v>
      </c>
      <c r="AA137" s="241">
        <v>35.630133926305</v>
      </c>
      <c r="AB137" s="241">
        <v>48.102389147806299</v>
      </c>
      <c r="AC137" s="241">
        <v>50.548448018520197</v>
      </c>
      <c r="AD137" s="241">
        <v>19.590961243615901</v>
      </c>
      <c r="AE137" s="241">
        <v>7.1187060221145897</v>
      </c>
      <c r="AF137" s="241">
        <v>3.70240701112228</v>
      </c>
      <c r="AG137" s="241">
        <v>9.2015365920503296</v>
      </c>
      <c r="AH137" s="241">
        <v>26.68335884283</v>
      </c>
      <c r="AI137" s="241">
        <v>43.408061953627701</v>
      </c>
      <c r="AJ137" s="241">
        <v>10.629932310946</v>
      </c>
      <c r="AK137" s="241">
        <v>17.4818222507797</v>
      </c>
      <c r="AL137" s="241">
        <v>73.316641157169997</v>
      </c>
      <c r="AM137" s="241">
        <v>16.724703110797599</v>
      </c>
      <c r="AN137" s="241">
        <v>52.199728386379299</v>
      </c>
      <c r="AO137" s="241">
        <v>61.746727698924303</v>
      </c>
      <c r="AP137" s="241">
        <v>65.168079428355895</v>
      </c>
      <c r="AQ137" s="241">
        <v>35.4750252755817</v>
      </c>
      <c r="AR137" s="241">
        <v>48.443376317558297</v>
      </c>
      <c r="AS137" s="241">
        <v>21.116912770790702</v>
      </c>
      <c r="AT137" s="249">
        <v>8.1485617288140606</v>
      </c>
    </row>
    <row r="138" spans="1:46" x14ac:dyDescent="0.4">
      <c r="A138" s="247" t="s">
        <v>647</v>
      </c>
      <c r="B138" s="248">
        <v>598</v>
      </c>
      <c r="C138" s="249" t="s">
        <v>648</v>
      </c>
      <c r="D138" s="249" t="s">
        <v>649</v>
      </c>
      <c r="E138" s="249" t="s">
        <v>650</v>
      </c>
      <c r="F138" s="247">
        <v>1</v>
      </c>
      <c r="G138" s="250" t="e">
        <f t="shared" si="6"/>
        <v>#N/A</v>
      </c>
      <c r="H138" s="250" t="e">
        <f t="shared" si="7"/>
        <v>#N/A</v>
      </c>
      <c r="I138" s="247">
        <v>2.1360000000000001</v>
      </c>
      <c r="J138" s="247">
        <v>28.899000000000001</v>
      </c>
      <c r="K138" s="247">
        <v>215</v>
      </c>
      <c r="L138" s="247">
        <v>24.5</v>
      </c>
      <c r="M138" s="247">
        <v>57.3</v>
      </c>
      <c r="N138" s="250">
        <v>3886.788</v>
      </c>
      <c r="O138" s="250">
        <v>3732.5329999999999</v>
      </c>
      <c r="P138" s="249">
        <v>5.3798149011471699</v>
      </c>
      <c r="Q138" s="249">
        <v>13.2956312513057</v>
      </c>
      <c r="R138" s="249">
        <v>37.7544903400957</v>
      </c>
      <c r="S138" s="249">
        <v>57.703738922729997</v>
      </c>
      <c r="T138" s="249">
        <v>15.088345441017101</v>
      </c>
      <c r="U138" s="249">
        <v>24.45885908879</v>
      </c>
      <c r="V138" s="249">
        <v>62.2455096599043</v>
      </c>
      <c r="W138" s="249">
        <v>19.949248582634301</v>
      </c>
      <c r="X138" s="249">
        <v>51.8698472877862</v>
      </c>
      <c r="Y138" s="249">
        <v>57.835338588057802</v>
      </c>
      <c r="Z138" s="249">
        <v>59.740665042703597</v>
      </c>
      <c r="AA138" s="249">
        <v>31.9205987051519</v>
      </c>
      <c r="AB138" s="249">
        <v>39.7914164600693</v>
      </c>
      <c r="AC138" s="249">
        <v>41.000949884583399</v>
      </c>
      <c r="AD138" s="249">
        <v>10.3756623721181</v>
      </c>
      <c r="AE138" s="249">
        <v>2.50484461720063</v>
      </c>
      <c r="AF138" s="249">
        <v>5.1921845031242899</v>
      </c>
      <c r="AG138" s="249">
        <v>12.831982999212601</v>
      </c>
      <c r="AH138" s="249">
        <v>36.504593529380699</v>
      </c>
      <c r="AI138" s="249">
        <v>56.047649143356502</v>
      </c>
      <c r="AJ138" s="249">
        <v>14.583367380810801</v>
      </c>
      <c r="AK138" s="249">
        <v>23.6726105301681</v>
      </c>
      <c r="AL138" s="249">
        <v>63.495406470619301</v>
      </c>
      <c r="AM138" s="249">
        <v>19.543055613975799</v>
      </c>
      <c r="AN138" s="249">
        <v>51.356598856594204</v>
      </c>
      <c r="AO138" s="249">
        <v>57.732376378186103</v>
      </c>
      <c r="AP138" s="249">
        <v>59.960005711938798</v>
      </c>
      <c r="AQ138" s="249">
        <v>31.813543242618302</v>
      </c>
      <c r="AR138" s="249">
        <v>40.416950097963003</v>
      </c>
      <c r="AS138" s="249">
        <v>12.138807614025099</v>
      </c>
      <c r="AT138" s="241">
        <v>3.5354007586804999</v>
      </c>
    </row>
    <row r="139" spans="1:46" x14ac:dyDescent="0.4">
      <c r="A139" s="251" t="s">
        <v>651</v>
      </c>
      <c r="B139" s="252">
        <v>600</v>
      </c>
      <c r="C139" s="253" t="s">
        <v>652</v>
      </c>
      <c r="D139" s="253" t="s">
        <v>653</v>
      </c>
      <c r="E139" s="253" t="s">
        <v>654</v>
      </c>
      <c r="F139" s="251">
        <v>1</v>
      </c>
      <c r="G139" s="254" t="e">
        <f t="shared" si="6"/>
        <v>#N/A</v>
      </c>
      <c r="H139" s="254" t="e">
        <f t="shared" si="7"/>
        <v>#N/A</v>
      </c>
      <c r="I139" s="251">
        <v>1.337</v>
      </c>
      <c r="J139" s="251">
        <v>21.588000000000001</v>
      </c>
      <c r="K139" s="251">
        <v>132</v>
      </c>
      <c r="L139" s="251">
        <v>10.9</v>
      </c>
      <c r="M139" s="251">
        <v>20.5</v>
      </c>
      <c r="N139" s="254">
        <v>3369.1260000000002</v>
      </c>
      <c r="O139" s="254">
        <v>3269.9969999999998</v>
      </c>
      <c r="P139" s="241">
        <v>4.0504273215071196</v>
      </c>
      <c r="Q139" s="241">
        <v>10.1954334744382</v>
      </c>
      <c r="R139" s="241">
        <v>30.261765217448101</v>
      </c>
      <c r="S139" s="241">
        <v>50.480035475075702</v>
      </c>
      <c r="T139" s="241">
        <v>12.1138241787336</v>
      </c>
      <c r="U139" s="241">
        <v>20.066331743009901</v>
      </c>
      <c r="V139" s="241">
        <v>69.738234782551899</v>
      </c>
      <c r="W139" s="241">
        <v>20.218270257627701</v>
      </c>
      <c r="X139" s="241">
        <v>53.459057334157301</v>
      </c>
      <c r="Y139" s="241">
        <v>61.080024908537098</v>
      </c>
      <c r="Z139" s="241">
        <v>64.068366692133196</v>
      </c>
      <c r="AA139" s="241">
        <v>33.2407870765296</v>
      </c>
      <c r="AB139" s="241">
        <v>43.850096434505602</v>
      </c>
      <c r="AC139" s="241">
        <v>46.013832667582101</v>
      </c>
      <c r="AD139" s="241">
        <v>16.279177448394599</v>
      </c>
      <c r="AE139" s="241">
        <v>5.6698680904187002</v>
      </c>
      <c r="AF139" s="241">
        <v>4.0064562750363404</v>
      </c>
      <c r="AG139" s="241">
        <v>10.100682049555401</v>
      </c>
      <c r="AH139" s="241">
        <v>30.002015292368799</v>
      </c>
      <c r="AI139" s="241">
        <v>50.047354783505902</v>
      </c>
      <c r="AJ139" s="241">
        <v>12.0218764726696</v>
      </c>
      <c r="AK139" s="241">
        <v>19.901333242813401</v>
      </c>
      <c r="AL139" s="241">
        <v>69.997984707631204</v>
      </c>
      <c r="AM139" s="241">
        <v>20.045339491137099</v>
      </c>
      <c r="AN139" s="241">
        <v>53.040537957680101</v>
      </c>
      <c r="AO139" s="241">
        <v>60.634520459804698</v>
      </c>
      <c r="AP139" s="241">
        <v>63.616296895685203</v>
      </c>
      <c r="AQ139" s="241">
        <v>32.995198466542902</v>
      </c>
      <c r="AR139" s="241">
        <v>43.570957404548103</v>
      </c>
      <c r="AS139" s="241">
        <v>16.957446749951099</v>
      </c>
      <c r="AT139" s="249">
        <v>6.3816878119460103</v>
      </c>
    </row>
    <row r="140" spans="1:46" x14ac:dyDescent="0.4">
      <c r="A140" s="247" t="s">
        <v>655</v>
      </c>
      <c r="B140" s="248">
        <v>604</v>
      </c>
      <c r="C140" s="249" t="s">
        <v>656</v>
      </c>
      <c r="D140" s="249" t="s">
        <v>657</v>
      </c>
      <c r="E140" s="249" t="s">
        <v>658</v>
      </c>
      <c r="F140" s="247">
        <v>4.4449947488584476</v>
      </c>
      <c r="G140" s="250" t="e">
        <f t="shared" si="6"/>
        <v>#N/A</v>
      </c>
      <c r="H140" s="250" t="e">
        <f t="shared" si="7"/>
        <v>#N/A</v>
      </c>
      <c r="I140" s="247">
        <v>1.319</v>
      </c>
      <c r="J140" s="247">
        <v>20.198</v>
      </c>
      <c r="K140" s="247">
        <v>68</v>
      </c>
      <c r="L140" s="247">
        <v>8.1999999999999993</v>
      </c>
      <c r="M140" s="247">
        <v>16.899999999999999</v>
      </c>
      <c r="N140" s="250">
        <v>15673.108</v>
      </c>
      <c r="O140" s="250">
        <v>15703.562</v>
      </c>
      <c r="P140" s="249">
        <v>3.9931709779579099</v>
      </c>
      <c r="Q140" s="249">
        <v>9.8330465150881405</v>
      </c>
      <c r="R140" s="249">
        <v>28.512921623458499</v>
      </c>
      <c r="S140" s="249">
        <v>46.736033465730003</v>
      </c>
      <c r="T140" s="249">
        <v>11.3098499672177</v>
      </c>
      <c r="U140" s="249">
        <v>18.6798751083703</v>
      </c>
      <c r="V140" s="249">
        <v>71.487078376541504</v>
      </c>
      <c r="W140" s="249">
        <v>18.2231118422715</v>
      </c>
      <c r="X140" s="249">
        <v>53.917359594536101</v>
      </c>
      <c r="Y140" s="249">
        <v>62.2996281273631</v>
      </c>
      <c r="Z140" s="249">
        <v>65.277697314406296</v>
      </c>
      <c r="AA140" s="249">
        <v>35.694247752264602</v>
      </c>
      <c r="AB140" s="249">
        <v>47.054585472134796</v>
      </c>
      <c r="AC140" s="249">
        <v>49.323127231688801</v>
      </c>
      <c r="AD140" s="249">
        <v>17.569718782005499</v>
      </c>
      <c r="AE140" s="249">
        <v>6.2093810621352201</v>
      </c>
      <c r="AF140" s="249">
        <v>3.8171212365703999</v>
      </c>
      <c r="AG140" s="249">
        <v>9.4175321497122795</v>
      </c>
      <c r="AH140" s="249">
        <v>27.279511489176802</v>
      </c>
      <c r="AI140" s="249">
        <v>44.669636099122002</v>
      </c>
      <c r="AJ140" s="249">
        <v>10.8398018233061</v>
      </c>
      <c r="AK140" s="249">
        <v>17.861979339464501</v>
      </c>
      <c r="AL140" s="249">
        <v>72.720488510823202</v>
      </c>
      <c r="AM140" s="249">
        <v>17.3901246099452</v>
      </c>
      <c r="AN140" s="249">
        <v>52.920254653052602</v>
      </c>
      <c r="AO140" s="249">
        <v>61.9761682094801</v>
      </c>
      <c r="AP140" s="249">
        <v>65.280775151523002</v>
      </c>
      <c r="AQ140" s="249">
        <v>35.530130043107398</v>
      </c>
      <c r="AR140" s="249">
        <v>47.890650541577799</v>
      </c>
      <c r="AS140" s="249">
        <v>19.8002338577706</v>
      </c>
      <c r="AT140" s="241">
        <v>7.4397133593002698</v>
      </c>
    </row>
    <row r="141" spans="1:46" x14ac:dyDescent="0.4">
      <c r="A141" s="251" t="s">
        <v>659</v>
      </c>
      <c r="B141" s="252">
        <v>608</v>
      </c>
      <c r="C141" s="253" t="s">
        <v>660</v>
      </c>
      <c r="D141" s="253" t="s">
        <v>661</v>
      </c>
      <c r="E141" s="253" t="s">
        <v>662</v>
      </c>
      <c r="F141" s="251">
        <v>63.64737553648073</v>
      </c>
      <c r="G141" s="254" t="e">
        <f t="shared" si="6"/>
        <v>#N/A</v>
      </c>
      <c r="H141" s="254" t="e">
        <f t="shared" si="7"/>
        <v>#N/A</v>
      </c>
      <c r="I141" s="251">
        <v>1.5820000000000001</v>
      </c>
      <c r="J141" s="251">
        <v>23.79</v>
      </c>
      <c r="K141" s="251">
        <v>114</v>
      </c>
      <c r="L141" s="251">
        <v>12.6</v>
      </c>
      <c r="M141" s="251">
        <v>28</v>
      </c>
      <c r="N141" s="254">
        <v>50812.555999999997</v>
      </c>
      <c r="O141" s="254">
        <v>49886.839</v>
      </c>
      <c r="P141" s="241">
        <v>4.6667914127366501</v>
      </c>
      <c r="Q141" s="241">
        <v>11.364907524037999</v>
      </c>
      <c r="R141" s="241">
        <v>32.635293922234503</v>
      </c>
      <c r="S141" s="241">
        <v>52.484004150470199</v>
      </c>
      <c r="T141" s="241">
        <v>12.8570229767619</v>
      </c>
      <c r="U141" s="241">
        <v>21.2703863981965</v>
      </c>
      <c r="V141" s="241">
        <v>67.364706077765504</v>
      </c>
      <c r="W141" s="241">
        <v>19.848710228235699</v>
      </c>
      <c r="X141" s="241">
        <v>53.001031870941503</v>
      </c>
      <c r="Y141" s="241">
        <v>60.952899122020099</v>
      </c>
      <c r="Z141" s="241">
        <v>63.519062099533002</v>
      </c>
      <c r="AA141" s="241">
        <v>33.1523216427058</v>
      </c>
      <c r="AB141" s="241">
        <v>43.670351871297299</v>
      </c>
      <c r="AC141" s="241">
        <v>45.410453274580398</v>
      </c>
      <c r="AD141" s="241">
        <v>14.363674206823999</v>
      </c>
      <c r="AE141" s="241">
        <v>3.8456439782324701</v>
      </c>
      <c r="AF141" s="241">
        <v>4.4417205908756801</v>
      </c>
      <c r="AG141" s="241">
        <v>10.9851838878787</v>
      </c>
      <c r="AH141" s="241">
        <v>31.249033437456301</v>
      </c>
      <c r="AI141" s="241">
        <v>50.5291525887218</v>
      </c>
      <c r="AJ141" s="241">
        <v>12.416256720534999</v>
      </c>
      <c r="AK141" s="241">
        <v>20.2638495495776</v>
      </c>
      <c r="AL141" s="241">
        <v>68.750966562543695</v>
      </c>
      <c r="AM141" s="241">
        <v>19.280119151265499</v>
      </c>
      <c r="AN141" s="241">
        <v>52.329437028471602</v>
      </c>
      <c r="AO141" s="241">
        <v>60.607241521155501</v>
      </c>
      <c r="AP141" s="241">
        <v>63.423699785829299</v>
      </c>
      <c r="AQ141" s="241">
        <v>33.049317877206001</v>
      </c>
      <c r="AR141" s="241">
        <v>44.143580634563698</v>
      </c>
      <c r="AS141" s="241">
        <v>16.4215295340721</v>
      </c>
      <c r="AT141" s="249">
        <v>5.3272667767143904</v>
      </c>
    </row>
    <row r="142" spans="1:46" x14ac:dyDescent="0.4">
      <c r="A142" s="247" t="s">
        <v>663</v>
      </c>
      <c r="B142" s="248">
        <v>616</v>
      </c>
      <c r="C142" s="249" t="s">
        <v>664</v>
      </c>
      <c r="D142" s="249" t="s">
        <v>665</v>
      </c>
      <c r="E142" s="249" t="s">
        <v>666</v>
      </c>
      <c r="F142" s="247">
        <v>5.2761036885245902</v>
      </c>
      <c r="G142" s="250" t="e">
        <f t="shared" si="6"/>
        <v>#N/A</v>
      </c>
      <c r="H142" s="250" t="e">
        <f t="shared" si="7"/>
        <v>#N/A</v>
      </c>
      <c r="I142" s="247">
        <v>1.9E-2</v>
      </c>
      <c r="J142" s="247">
        <v>9.6</v>
      </c>
      <c r="K142" s="247">
        <v>3</v>
      </c>
      <c r="L142" s="247">
        <v>3.1</v>
      </c>
      <c r="M142" s="247">
        <v>5.2</v>
      </c>
      <c r="N142" s="250">
        <v>18673.687000000002</v>
      </c>
      <c r="O142" s="250">
        <v>19938.107</v>
      </c>
      <c r="P142" s="249">
        <v>2.0586400532471201</v>
      </c>
      <c r="Q142" s="249">
        <v>5.4835609057814896</v>
      </c>
      <c r="R142" s="249">
        <v>15.8614150488867</v>
      </c>
      <c r="S142" s="249">
        <v>28.101959725468301</v>
      </c>
      <c r="T142" s="249">
        <v>6.5363845929301503</v>
      </c>
      <c r="U142" s="249">
        <v>10.3778541431052</v>
      </c>
      <c r="V142" s="249">
        <v>84.138584951113302</v>
      </c>
      <c r="W142" s="249">
        <v>12.2405446765815</v>
      </c>
      <c r="X142" s="249">
        <v>50.810185476494297</v>
      </c>
      <c r="Y142" s="249">
        <v>64.828295558343697</v>
      </c>
      <c r="Z142" s="249">
        <v>71.6783728890818</v>
      </c>
      <c r="AA142" s="249">
        <v>38.569640799912698</v>
      </c>
      <c r="AB142" s="249">
        <v>59.4378282125003</v>
      </c>
      <c r="AC142" s="249">
        <v>64.336555496512304</v>
      </c>
      <c r="AD142" s="249">
        <v>33.328399474618998</v>
      </c>
      <c r="AE142" s="249">
        <v>12.4602120620315</v>
      </c>
      <c r="AF142" s="249">
        <v>1.8276710020665501</v>
      </c>
      <c r="AG142" s="249">
        <v>4.8676336223895298</v>
      </c>
      <c r="AH142" s="249">
        <v>14.0891810842424</v>
      </c>
      <c r="AI142" s="249">
        <v>25.0560145955682</v>
      </c>
      <c r="AJ142" s="249">
        <v>5.8042471133292697</v>
      </c>
      <c r="AK142" s="249">
        <v>9.2215474618528201</v>
      </c>
      <c r="AL142" s="249">
        <v>85.910818915757602</v>
      </c>
      <c r="AM142" s="249">
        <v>10.966833511325801</v>
      </c>
      <c r="AN142" s="249">
        <v>46.295794279767897</v>
      </c>
      <c r="AO142" s="249">
        <v>60.097886925774802</v>
      </c>
      <c r="AP142" s="249">
        <v>67.499271620921704</v>
      </c>
      <c r="AQ142" s="249">
        <v>35.328960768442101</v>
      </c>
      <c r="AR142" s="249">
        <v>56.532438109595901</v>
      </c>
      <c r="AS142" s="249">
        <v>39.615024635989798</v>
      </c>
      <c r="AT142" s="241">
        <v>18.411547294836001</v>
      </c>
    </row>
    <row r="143" spans="1:46" x14ac:dyDescent="0.4">
      <c r="A143" s="251" t="s">
        <v>667</v>
      </c>
      <c r="B143" s="252">
        <v>620</v>
      </c>
      <c r="C143" s="253" t="s">
        <v>668</v>
      </c>
      <c r="D143" s="253" t="s">
        <v>196</v>
      </c>
      <c r="E143" s="253" t="s">
        <v>197</v>
      </c>
      <c r="F143" s="251">
        <v>1.2617355060728741</v>
      </c>
      <c r="G143" s="254" t="e">
        <f t="shared" si="6"/>
        <v>#N/A</v>
      </c>
      <c r="H143" s="254" t="e">
        <f t="shared" si="7"/>
        <v>#N/A</v>
      </c>
      <c r="I143" s="251">
        <v>-0.44900000000000001</v>
      </c>
      <c r="J143" s="251">
        <v>7.9</v>
      </c>
      <c r="K143" s="251">
        <v>10</v>
      </c>
      <c r="L143" s="251">
        <v>2</v>
      </c>
      <c r="M143" s="251">
        <v>3.6</v>
      </c>
      <c r="N143" s="254">
        <v>4900.5389999999998</v>
      </c>
      <c r="O143" s="254">
        <v>5449.2640000000001</v>
      </c>
      <c r="P143" s="241">
        <v>1.7891093204237301</v>
      </c>
      <c r="Q143" s="241">
        <v>4.6060647614476702</v>
      </c>
      <c r="R143" s="241">
        <v>15.200327963924</v>
      </c>
      <c r="S143" s="241">
        <v>26.215463237819399</v>
      </c>
      <c r="T143" s="241">
        <v>6.1688316326020498</v>
      </c>
      <c r="U143" s="241">
        <v>10.5942632024763</v>
      </c>
      <c r="V143" s="241">
        <v>84.799672036076004</v>
      </c>
      <c r="W143" s="241">
        <v>11.0151352738954</v>
      </c>
      <c r="X143" s="241">
        <v>46.138924718280997</v>
      </c>
      <c r="Y143" s="241">
        <v>60.191195295048203</v>
      </c>
      <c r="Z143" s="241">
        <v>66.3834325163008</v>
      </c>
      <c r="AA143" s="241">
        <v>35.123789444385601</v>
      </c>
      <c r="AB143" s="241">
        <v>55.368297242405397</v>
      </c>
      <c r="AC143" s="241">
        <v>60.984250916072703</v>
      </c>
      <c r="AD143" s="241">
        <v>38.660747317795</v>
      </c>
      <c r="AE143" s="241">
        <v>18.416239519775299</v>
      </c>
      <c r="AF143" s="241">
        <v>1.49277039981913</v>
      </c>
      <c r="AG143" s="241">
        <v>3.90986746100024</v>
      </c>
      <c r="AH143" s="241">
        <v>13.0218135880368</v>
      </c>
      <c r="AI143" s="241">
        <v>23.0215493321667</v>
      </c>
      <c r="AJ143" s="241">
        <v>5.31178155435303</v>
      </c>
      <c r="AK143" s="241">
        <v>9.1119461270365996</v>
      </c>
      <c r="AL143" s="241">
        <v>86.978186411963193</v>
      </c>
      <c r="AM143" s="241">
        <v>9.9997357441298504</v>
      </c>
      <c r="AN143" s="241">
        <v>43.697112123765699</v>
      </c>
      <c r="AO143" s="241">
        <v>57.703388934725901</v>
      </c>
      <c r="AP143" s="241">
        <v>64.050668126925004</v>
      </c>
      <c r="AQ143" s="241">
        <v>33.697376379635898</v>
      </c>
      <c r="AR143" s="241">
        <v>54.050932382795203</v>
      </c>
      <c r="AS143" s="241">
        <v>43.281074288197502</v>
      </c>
      <c r="AT143" s="249">
        <v>22.927518285038101</v>
      </c>
    </row>
    <row r="144" spans="1:46" x14ac:dyDescent="0.4">
      <c r="A144" s="247" t="s">
        <v>669</v>
      </c>
      <c r="B144" s="248">
        <v>634</v>
      </c>
      <c r="C144" s="249" t="s">
        <v>670</v>
      </c>
      <c r="D144" s="249" t="s">
        <v>671</v>
      </c>
      <c r="E144" s="249" t="s">
        <v>672</v>
      </c>
      <c r="F144" s="247">
        <v>5.0916701209677404</v>
      </c>
      <c r="G144" s="250" t="e">
        <f t="shared" si="6"/>
        <v>#N/A</v>
      </c>
      <c r="H144" s="250" t="e">
        <f t="shared" si="7"/>
        <v>#N/A</v>
      </c>
      <c r="I144" s="247">
        <v>4.7190000000000003</v>
      </c>
      <c r="J144" s="247">
        <v>11.94</v>
      </c>
      <c r="K144" s="247">
        <v>13</v>
      </c>
      <c r="L144" s="247">
        <v>3.8</v>
      </c>
      <c r="M144" s="247">
        <v>8</v>
      </c>
      <c r="N144" s="250">
        <v>1623.7190000000001</v>
      </c>
      <c r="O144" s="250">
        <v>611.63599999999997</v>
      </c>
      <c r="P144" s="249">
        <v>1.7691484795090799</v>
      </c>
      <c r="Q144" s="249">
        <v>4.1573080071120696</v>
      </c>
      <c r="R144" s="249">
        <v>11.2472663065469</v>
      </c>
      <c r="S144" s="249">
        <v>26.471883373908899</v>
      </c>
      <c r="T144" s="249">
        <v>4.22640863351356</v>
      </c>
      <c r="U144" s="249">
        <v>7.0899582994348203</v>
      </c>
      <c r="V144" s="249">
        <v>88.752733693453095</v>
      </c>
      <c r="W144" s="249">
        <v>15.224617067362001</v>
      </c>
      <c r="X144" s="249">
        <v>80.254834734335205</v>
      </c>
      <c r="Y144" s="249">
        <v>86.576864592949903</v>
      </c>
      <c r="Z144" s="249">
        <v>87.667816906743099</v>
      </c>
      <c r="AA144" s="249">
        <v>65.030217666973201</v>
      </c>
      <c r="AB144" s="249">
        <v>72.443199839381094</v>
      </c>
      <c r="AC144" s="249">
        <v>72.837664645175707</v>
      </c>
      <c r="AD144" s="249">
        <v>8.4978989591179204</v>
      </c>
      <c r="AE144" s="249">
        <v>1.08491678671002</v>
      </c>
      <c r="AF144" s="249">
        <v>4.4366257054849596</v>
      </c>
      <c r="AG144" s="249">
        <v>10.6071258068524</v>
      </c>
      <c r="AH144" s="249">
        <v>26.868595046727101</v>
      </c>
      <c r="AI144" s="249">
        <v>39.8567121621357</v>
      </c>
      <c r="AJ144" s="249">
        <v>10.5083742618159</v>
      </c>
      <c r="AK144" s="249">
        <v>16.2614692398747</v>
      </c>
      <c r="AL144" s="249">
        <v>73.131404953272906</v>
      </c>
      <c r="AM144" s="249">
        <v>12.9881171154085</v>
      </c>
      <c r="AN144" s="249">
        <v>65.720788181205805</v>
      </c>
      <c r="AO144" s="249">
        <v>70.639236408582903</v>
      </c>
      <c r="AP144" s="249">
        <v>71.687735842886994</v>
      </c>
      <c r="AQ144" s="249">
        <v>52.732671065797298</v>
      </c>
      <c r="AR144" s="249">
        <v>58.699618727478502</v>
      </c>
      <c r="AS144" s="249">
        <v>7.4106167720670504</v>
      </c>
      <c r="AT144" s="241">
        <v>1.4436691103859201</v>
      </c>
    </row>
    <row r="145" spans="1:46" x14ac:dyDescent="0.4">
      <c r="A145" s="251" t="s">
        <v>673</v>
      </c>
      <c r="B145" s="252">
        <v>410</v>
      </c>
      <c r="C145" s="253" t="s">
        <v>674</v>
      </c>
      <c r="D145" s="253" t="s">
        <v>675</v>
      </c>
      <c r="E145" s="253" t="s">
        <v>676</v>
      </c>
      <c r="F145" s="251">
        <v>1582.5193750000001</v>
      </c>
      <c r="G145" s="254" t="e">
        <f t="shared" si="6"/>
        <v>#N/A</v>
      </c>
      <c r="H145" s="254" t="e">
        <f t="shared" si="7"/>
        <v>#N/A</v>
      </c>
      <c r="I145" s="251">
        <v>0.48399999999999999</v>
      </c>
      <c r="J145" s="251">
        <v>8.6</v>
      </c>
      <c r="K145" s="251">
        <v>11</v>
      </c>
      <c r="L145" s="251">
        <v>1.6</v>
      </c>
      <c r="M145" s="251">
        <v>3.4</v>
      </c>
      <c r="N145" s="254">
        <v>24995.027999999998</v>
      </c>
      <c r="O145" s="254">
        <v>25298.411</v>
      </c>
      <c r="P145" s="241">
        <v>1.9008500410561699</v>
      </c>
      <c r="Q145" s="241">
        <v>4.7276922434333697</v>
      </c>
      <c r="R145" s="241">
        <v>14.5571831325814</v>
      </c>
      <c r="S145" s="241">
        <v>28.829929696417999</v>
      </c>
      <c r="T145" s="241">
        <v>5.6412019222382899</v>
      </c>
      <c r="U145" s="241">
        <v>9.8294908891480297</v>
      </c>
      <c r="V145" s="241">
        <v>85.4428168674186</v>
      </c>
      <c r="W145" s="241">
        <v>14.2727465638366</v>
      </c>
      <c r="X145" s="241">
        <v>53.547649556543803</v>
      </c>
      <c r="Y145" s="241">
        <v>69.160978735450897</v>
      </c>
      <c r="Z145" s="241">
        <v>74.4479582099288</v>
      </c>
      <c r="AA145" s="241">
        <v>39.274902992707197</v>
      </c>
      <c r="AB145" s="241">
        <v>60.175211646092201</v>
      </c>
      <c r="AC145" s="241">
        <v>64.190154137854904</v>
      </c>
      <c r="AD145" s="241">
        <v>31.8951673108748</v>
      </c>
      <c r="AE145" s="241">
        <v>10.9948586574898</v>
      </c>
      <c r="AF145" s="241">
        <v>1.7421291795757401</v>
      </c>
      <c r="AG145" s="241">
        <v>4.3702270470663098</v>
      </c>
      <c r="AH145" s="241">
        <v>13.4349860945812</v>
      </c>
      <c r="AI145" s="241">
        <v>26.153824443756601</v>
      </c>
      <c r="AJ145" s="241">
        <v>5.2407955582664902</v>
      </c>
      <c r="AK145" s="241">
        <v>9.0647590475148796</v>
      </c>
      <c r="AL145" s="241">
        <v>86.565013905418795</v>
      </c>
      <c r="AM145" s="241">
        <v>12.7188383491754</v>
      </c>
      <c r="AN145" s="241">
        <v>50.107933656386599</v>
      </c>
      <c r="AO145" s="241">
        <v>65.792578830346301</v>
      </c>
      <c r="AP145" s="241">
        <v>71.331602605396796</v>
      </c>
      <c r="AQ145" s="241">
        <v>37.3890953072112</v>
      </c>
      <c r="AR145" s="241">
        <v>58.612764256221503</v>
      </c>
      <c r="AS145" s="241">
        <v>36.457080249032202</v>
      </c>
      <c r="AT145" s="249">
        <v>15.233411300022</v>
      </c>
    </row>
    <row r="146" spans="1:46" x14ac:dyDescent="0.4">
      <c r="A146" s="247" t="s">
        <v>677</v>
      </c>
      <c r="B146" s="248">
        <v>498</v>
      </c>
      <c r="C146" s="249" t="s">
        <v>678</v>
      </c>
      <c r="D146" s="249" t="s">
        <v>679</v>
      </c>
      <c r="E146" s="249" t="s">
        <v>680</v>
      </c>
      <c r="F146" s="247">
        <v>1</v>
      </c>
      <c r="G146" s="250" t="e">
        <f t="shared" si="6"/>
        <v>#N/A</v>
      </c>
      <c r="H146" s="250" t="e">
        <f t="shared" si="7"/>
        <v>#N/A</v>
      </c>
      <c r="I146" s="247">
        <v>-7.5999999999999998E-2</v>
      </c>
      <c r="J146" s="247">
        <v>12.141</v>
      </c>
      <c r="K146" s="247">
        <v>23</v>
      </c>
      <c r="L146" s="247">
        <v>11.9</v>
      </c>
      <c r="M146" s="247">
        <v>15.8</v>
      </c>
      <c r="N146" s="250">
        <v>1955.8589999999999</v>
      </c>
      <c r="O146" s="250">
        <v>2113.038</v>
      </c>
      <c r="P146" s="249">
        <v>2.3094711837611999</v>
      </c>
      <c r="Q146" s="249">
        <v>5.8854958358450196</v>
      </c>
      <c r="R146" s="249">
        <v>16.869723226469802</v>
      </c>
      <c r="S146" s="249">
        <v>31.831128931073199</v>
      </c>
      <c r="T146" s="249">
        <v>6.7362217828585802</v>
      </c>
      <c r="U146" s="249">
        <v>10.984227390624801</v>
      </c>
      <c r="V146" s="249">
        <v>83.130276773530198</v>
      </c>
      <c r="W146" s="249">
        <v>14.9614057046035</v>
      </c>
      <c r="X146" s="249">
        <v>55.693329631635002</v>
      </c>
      <c r="Y146" s="249">
        <v>69.4262725482767</v>
      </c>
      <c r="Z146" s="249">
        <v>75.359880236765505</v>
      </c>
      <c r="AA146" s="249">
        <v>40.731923927031502</v>
      </c>
      <c r="AB146" s="249">
        <v>60.398474532162098</v>
      </c>
      <c r="AC146" s="249">
        <v>63.044626427569703</v>
      </c>
      <c r="AD146" s="249">
        <v>27.4369471418952</v>
      </c>
      <c r="AE146" s="249">
        <v>7.7703965367646601</v>
      </c>
      <c r="AF146" s="249">
        <v>1.9711902956785401</v>
      </c>
      <c r="AG146" s="249">
        <v>5.1025584963450701</v>
      </c>
      <c r="AH146" s="249">
        <v>14.6816100798944</v>
      </c>
      <c r="AI146" s="249">
        <v>28.027134391336102</v>
      </c>
      <c r="AJ146" s="249">
        <v>5.9029227112811</v>
      </c>
      <c r="AK146" s="249">
        <v>9.5790515835493704</v>
      </c>
      <c r="AL146" s="249">
        <v>85.318389920105602</v>
      </c>
      <c r="AM146" s="249">
        <v>13.345524311441601</v>
      </c>
      <c r="AN146" s="249">
        <v>51.125157238062002</v>
      </c>
      <c r="AO146" s="249">
        <v>66.103591132767207</v>
      </c>
      <c r="AP146" s="249">
        <v>73.335642804341404</v>
      </c>
      <c r="AQ146" s="249">
        <v>37.779632926620302</v>
      </c>
      <c r="AR146" s="249">
        <v>59.990118492899803</v>
      </c>
      <c r="AS146" s="249">
        <v>34.1932326820436</v>
      </c>
      <c r="AT146" s="241">
        <v>11.9827471157641</v>
      </c>
    </row>
    <row r="147" spans="1:46" x14ac:dyDescent="0.4">
      <c r="A147" s="251" t="s">
        <v>681</v>
      </c>
      <c r="B147" s="252">
        <v>642</v>
      </c>
      <c r="C147" s="253" t="s">
        <v>682</v>
      </c>
      <c r="D147" s="253" t="s">
        <v>683</v>
      </c>
      <c r="E147" s="253" t="s">
        <v>684</v>
      </c>
      <c r="F147" s="251">
        <v>1</v>
      </c>
      <c r="G147" s="254" t="e">
        <f t="shared" si="6"/>
        <v>#N/A</v>
      </c>
      <c r="H147" s="254" t="e">
        <f t="shared" si="7"/>
        <v>#N/A</v>
      </c>
      <c r="I147" s="251">
        <v>-0.79100000000000004</v>
      </c>
      <c r="J147" s="251">
        <v>8.8000000000000007</v>
      </c>
      <c r="K147" s="251">
        <v>31</v>
      </c>
      <c r="L147" s="251">
        <v>6.3</v>
      </c>
      <c r="M147" s="251">
        <v>11.1</v>
      </c>
      <c r="N147" s="254">
        <v>9450.9770000000008</v>
      </c>
      <c r="O147" s="254">
        <v>10060.347</v>
      </c>
      <c r="P147" s="241">
        <v>1.8583898786337101</v>
      </c>
      <c r="Q147" s="241">
        <v>5.0240943343741096</v>
      </c>
      <c r="R147" s="241">
        <v>16.447770426274399</v>
      </c>
      <c r="S147" s="241">
        <v>27.577921309087898</v>
      </c>
      <c r="T147" s="241">
        <v>6.8548151159398598</v>
      </c>
      <c r="U147" s="241">
        <v>11.423676091900299</v>
      </c>
      <c r="V147" s="241">
        <v>83.552229573725597</v>
      </c>
      <c r="W147" s="241">
        <v>11.130150882813499</v>
      </c>
      <c r="X147" s="241">
        <v>49.646708483154697</v>
      </c>
      <c r="Y147" s="241">
        <v>62.359849145755</v>
      </c>
      <c r="Z147" s="241">
        <v>69.153813409978696</v>
      </c>
      <c r="AA147" s="241">
        <v>38.516557600341201</v>
      </c>
      <c r="AB147" s="241">
        <v>58.0236625271652</v>
      </c>
      <c r="AC147" s="241">
        <v>63.067500852028303</v>
      </c>
      <c r="AD147" s="241">
        <v>33.9055210905709</v>
      </c>
      <c r="AE147" s="241">
        <v>14.3984161637469</v>
      </c>
      <c r="AF147" s="241">
        <v>1.6517819912175999</v>
      </c>
      <c r="AG147" s="241">
        <v>4.4672216574636998</v>
      </c>
      <c r="AH147" s="241">
        <v>14.6495543344578</v>
      </c>
      <c r="AI147" s="241">
        <v>24.5073455219785</v>
      </c>
      <c r="AJ147" s="241">
        <v>6.1068967104216201</v>
      </c>
      <c r="AK147" s="241">
        <v>10.1823326769941</v>
      </c>
      <c r="AL147" s="241">
        <v>85.350445665542196</v>
      </c>
      <c r="AM147" s="241">
        <v>9.8577911875206699</v>
      </c>
      <c r="AN147" s="241">
        <v>45.138025557170103</v>
      </c>
      <c r="AO147" s="241">
        <v>57.916779610086998</v>
      </c>
      <c r="AP147" s="241">
        <v>65.297469361643294</v>
      </c>
      <c r="AQ147" s="241">
        <v>35.280234369649499</v>
      </c>
      <c r="AR147" s="241">
        <v>55.439678174122598</v>
      </c>
      <c r="AS147" s="241">
        <v>40.212420108372001</v>
      </c>
      <c r="AT147" s="249">
        <v>20.052976303898902</v>
      </c>
    </row>
    <row r="148" spans="1:46" x14ac:dyDescent="0.4">
      <c r="A148" s="247" t="s">
        <v>685</v>
      </c>
      <c r="B148" s="248">
        <v>643</v>
      </c>
      <c r="C148" s="249" t="s">
        <v>686</v>
      </c>
      <c r="D148" s="249" t="s">
        <v>687</v>
      </c>
      <c r="E148" s="249" t="s">
        <v>688</v>
      </c>
      <c r="F148" s="247">
        <v>85.746358227848091</v>
      </c>
      <c r="G148" s="250" t="e">
        <f t="shared" si="6"/>
        <v>#N/A</v>
      </c>
      <c r="H148" s="250" t="e">
        <f t="shared" si="7"/>
        <v>#N/A</v>
      </c>
      <c r="I148" s="247">
        <v>4.2000000000000003E-2</v>
      </c>
      <c r="J148" s="247">
        <v>13.2</v>
      </c>
      <c r="K148" s="247">
        <v>25</v>
      </c>
      <c r="L148" s="247">
        <v>5</v>
      </c>
      <c r="M148" s="247">
        <v>9.6</v>
      </c>
      <c r="N148" s="250">
        <v>66644.047000000006</v>
      </c>
      <c r="O148" s="250">
        <v>76812.870999999999</v>
      </c>
      <c r="P148" s="249">
        <v>2.950803692939</v>
      </c>
      <c r="Q148" s="249">
        <v>7.0653167266387698</v>
      </c>
      <c r="R148" s="249">
        <v>18.485763627169899</v>
      </c>
      <c r="S148" s="249">
        <v>30.234718488809701</v>
      </c>
      <c r="T148" s="249">
        <v>7.2166055581828603</v>
      </c>
      <c r="U148" s="249">
        <v>11.4204469005311</v>
      </c>
      <c r="V148" s="249">
        <v>81.514236372830098</v>
      </c>
      <c r="W148" s="249">
        <v>11.748954861639801</v>
      </c>
      <c r="X148" s="249">
        <v>51.474656093439201</v>
      </c>
      <c r="Y148" s="249">
        <v>66.219841060972797</v>
      </c>
      <c r="Z148" s="249">
        <v>72.157408147797497</v>
      </c>
      <c r="AA148" s="249">
        <v>39.725701231799398</v>
      </c>
      <c r="AB148" s="249">
        <v>60.408453286157702</v>
      </c>
      <c r="AC148" s="249">
        <v>63.861007720614602</v>
      </c>
      <c r="AD148" s="249">
        <v>30.039580279390901</v>
      </c>
      <c r="AE148" s="249">
        <v>9.3568282250326096</v>
      </c>
      <c r="AF148" s="249">
        <v>2.4125136528225899</v>
      </c>
      <c r="AG148" s="249">
        <v>5.8023817388624899</v>
      </c>
      <c r="AH148" s="249">
        <v>15.2476073964219</v>
      </c>
      <c r="AI148" s="249">
        <v>24.926132496727</v>
      </c>
      <c r="AJ148" s="249">
        <v>5.9741745624896696</v>
      </c>
      <c r="AK148" s="249">
        <v>9.4452256575593907</v>
      </c>
      <c r="AL148" s="249">
        <v>84.752392603578102</v>
      </c>
      <c r="AM148" s="249">
        <v>9.67852510030513</v>
      </c>
      <c r="AN148" s="249">
        <v>45.091974234370198</v>
      </c>
      <c r="AO148" s="249">
        <v>60.619267830778</v>
      </c>
      <c r="AP148" s="249">
        <v>67.908266311253996</v>
      </c>
      <c r="AQ148" s="249">
        <v>35.413449134064997</v>
      </c>
      <c r="AR148" s="249">
        <v>58.229741210948902</v>
      </c>
      <c r="AS148" s="249">
        <v>39.660418369207903</v>
      </c>
      <c r="AT148" s="241">
        <v>16.844126292324098</v>
      </c>
    </row>
    <row r="149" spans="1:46" x14ac:dyDescent="0.4">
      <c r="A149" s="251" t="s">
        <v>689</v>
      </c>
      <c r="B149" s="252">
        <v>646</v>
      </c>
      <c r="C149" s="253" t="s">
        <v>57</v>
      </c>
      <c r="D149" s="253" t="s">
        <v>690</v>
      </c>
      <c r="E149" s="253" t="s">
        <v>691</v>
      </c>
      <c r="F149" s="251">
        <v>1</v>
      </c>
      <c r="G149" s="254" t="e">
        <f t="shared" si="6"/>
        <v>#N/A</v>
      </c>
      <c r="H149" s="254" t="e">
        <f t="shared" si="7"/>
        <v>#N/A</v>
      </c>
      <c r="I149" s="251">
        <v>2.4060000000000001</v>
      </c>
      <c r="J149" s="251">
        <v>32.689</v>
      </c>
      <c r="K149" s="251">
        <v>290</v>
      </c>
      <c r="L149" s="251">
        <v>18.7</v>
      </c>
      <c r="M149" s="251">
        <v>41.7</v>
      </c>
      <c r="N149" s="254">
        <v>5559.5659999999998</v>
      </c>
      <c r="O149" s="254">
        <v>6050.1</v>
      </c>
      <c r="P149" s="241">
        <v>6.01588325419646</v>
      </c>
      <c r="Q149" s="241">
        <v>15.2977408668231</v>
      </c>
      <c r="R149" s="241">
        <v>42.850772884070402</v>
      </c>
      <c r="S149" s="241">
        <v>62.713690241288603</v>
      </c>
      <c r="T149" s="241">
        <v>17.506690270427601</v>
      </c>
      <c r="U149" s="241">
        <v>27.5530320172474</v>
      </c>
      <c r="V149" s="241">
        <v>57.149227115929499</v>
      </c>
      <c r="W149" s="241">
        <v>19.862917357218201</v>
      </c>
      <c r="X149" s="241">
        <v>48.6789256571466</v>
      </c>
      <c r="Y149" s="241">
        <v>53.361665281066898</v>
      </c>
      <c r="Z149" s="241">
        <v>54.836474645682799</v>
      </c>
      <c r="AA149" s="241">
        <v>28.816008299928399</v>
      </c>
      <c r="AB149" s="241">
        <v>34.973557288464598</v>
      </c>
      <c r="AC149" s="241">
        <v>35.917569824694901</v>
      </c>
      <c r="AD149" s="241">
        <v>8.4703014587829308</v>
      </c>
      <c r="AE149" s="241">
        <v>2.3127524702467799</v>
      </c>
      <c r="AF149" s="241">
        <v>5.4686699393398497</v>
      </c>
      <c r="AG149" s="241">
        <v>13.956678402009899</v>
      </c>
      <c r="AH149" s="241">
        <v>39.399100841308403</v>
      </c>
      <c r="AI149" s="241">
        <v>58.166922860779202</v>
      </c>
      <c r="AJ149" s="241">
        <v>16.1318325316937</v>
      </c>
      <c r="AK149" s="241">
        <v>25.4424224392985</v>
      </c>
      <c r="AL149" s="241">
        <v>60.600899158691597</v>
      </c>
      <c r="AM149" s="241">
        <v>18.767822019470799</v>
      </c>
      <c r="AN149" s="241">
        <v>49.292805077601997</v>
      </c>
      <c r="AO149" s="241">
        <v>55.367332771359202</v>
      </c>
      <c r="AP149" s="241">
        <v>57.3726219401332</v>
      </c>
      <c r="AQ149" s="241">
        <v>30.524983058131301</v>
      </c>
      <c r="AR149" s="241">
        <v>38.604799920662501</v>
      </c>
      <c r="AS149" s="241">
        <v>11.3080940810896</v>
      </c>
      <c r="AT149" s="249">
        <v>3.2282772185583699</v>
      </c>
    </row>
    <row r="150" spans="1:46" x14ac:dyDescent="0.4">
      <c r="A150" s="247" t="s">
        <v>692</v>
      </c>
      <c r="B150" s="248">
        <v>659</v>
      </c>
      <c r="C150" s="249" t="s">
        <v>693</v>
      </c>
      <c r="D150" s="249" t="s">
        <v>204</v>
      </c>
      <c r="E150" s="249" t="s">
        <v>205</v>
      </c>
      <c r="F150" s="247">
        <v>1</v>
      </c>
      <c r="G150" s="250" t="e">
        <f t="shared" si="6"/>
        <v>#N/A</v>
      </c>
      <c r="H150" s="250" t="e">
        <f t="shared" si="7"/>
        <v>#N/A</v>
      </c>
      <c r="I150" s="247">
        <v>1.194</v>
      </c>
      <c r="J150" s="247">
        <v>0</v>
      </c>
      <c r="K150" s="247">
        <v>0</v>
      </c>
      <c r="L150" s="247">
        <v>6.5</v>
      </c>
      <c r="M150" s="247">
        <v>10.5</v>
      </c>
      <c r="N150" s="250" t="e">
        <v>#N/A</v>
      </c>
      <c r="O150" s="250" t="e">
        <v>#N/A</v>
      </c>
      <c r="P150" s="249" t="e">
        <v>#N/A</v>
      </c>
      <c r="Q150" s="249" t="e">
        <v>#N/A</v>
      </c>
      <c r="R150" s="249" t="e">
        <v>#N/A</v>
      </c>
      <c r="S150" s="249" t="e">
        <v>#N/A</v>
      </c>
      <c r="T150" s="249" t="e">
        <v>#N/A</v>
      </c>
      <c r="U150" s="249" t="e">
        <v>#N/A</v>
      </c>
      <c r="V150" s="249" t="e">
        <v>#N/A</v>
      </c>
      <c r="W150" s="249" t="e">
        <v>#N/A</v>
      </c>
      <c r="X150" s="249" t="e">
        <v>#N/A</v>
      </c>
      <c r="Y150" s="249" t="e">
        <v>#N/A</v>
      </c>
      <c r="Z150" s="249" t="e">
        <v>#N/A</v>
      </c>
      <c r="AA150" s="249" t="e">
        <v>#N/A</v>
      </c>
      <c r="AB150" s="249" t="e">
        <v>#N/A</v>
      </c>
      <c r="AC150" s="249" t="e">
        <v>#N/A</v>
      </c>
      <c r="AD150" s="249" t="e">
        <v>#N/A</v>
      </c>
      <c r="AE150" s="249" t="e">
        <v>#N/A</v>
      </c>
      <c r="AF150" s="249" t="e">
        <v>#N/A</v>
      </c>
      <c r="AG150" s="249" t="e">
        <v>#N/A</v>
      </c>
      <c r="AH150" s="249" t="e">
        <v>#N/A</v>
      </c>
      <c r="AI150" s="249" t="e">
        <v>#N/A</v>
      </c>
      <c r="AJ150" s="249" t="e">
        <v>#N/A</v>
      </c>
      <c r="AK150" s="249" t="e">
        <v>#N/A</v>
      </c>
      <c r="AL150" s="249" t="e">
        <v>#N/A</v>
      </c>
      <c r="AM150" s="249" t="e">
        <v>#N/A</v>
      </c>
      <c r="AN150" s="249" t="e">
        <v>#N/A</v>
      </c>
      <c r="AO150" s="249" t="e">
        <v>#N/A</v>
      </c>
      <c r="AP150" s="249" t="e">
        <v>#N/A</v>
      </c>
      <c r="AQ150" s="249" t="e">
        <v>#N/A</v>
      </c>
      <c r="AR150" s="249" t="e">
        <v>#N/A</v>
      </c>
      <c r="AS150" s="249" t="e">
        <v>#N/A</v>
      </c>
      <c r="AT150" s="241" t="e">
        <v>#N/A</v>
      </c>
    </row>
    <row r="151" spans="1:46" x14ac:dyDescent="0.4">
      <c r="A151" s="251" t="s">
        <v>694</v>
      </c>
      <c r="B151" s="252">
        <v>662</v>
      </c>
      <c r="C151" s="253" t="s">
        <v>695</v>
      </c>
      <c r="D151" s="253" t="s">
        <v>204</v>
      </c>
      <c r="E151" s="253" t="s">
        <v>205</v>
      </c>
      <c r="F151" s="251">
        <v>1</v>
      </c>
      <c r="G151" s="254" t="e">
        <f t="shared" si="6"/>
        <v>#N/A</v>
      </c>
      <c r="H151" s="254" t="e">
        <f t="shared" si="7"/>
        <v>#N/A</v>
      </c>
      <c r="I151" s="251">
        <v>0.83899999999999997</v>
      </c>
      <c r="J151" s="251">
        <v>15.43</v>
      </c>
      <c r="K151" s="251">
        <v>48</v>
      </c>
      <c r="L151" s="251">
        <v>9.3000000000000007</v>
      </c>
      <c r="M151" s="251">
        <v>14.3</v>
      </c>
      <c r="N151" s="254">
        <v>90.759</v>
      </c>
      <c r="O151" s="254">
        <v>94.24</v>
      </c>
      <c r="P151" s="241">
        <v>3.0850934893509199</v>
      </c>
      <c r="Q151" s="241">
        <v>7.6851882457938103</v>
      </c>
      <c r="R151" s="241">
        <v>23.816921737789102</v>
      </c>
      <c r="S151" s="241">
        <v>41.712667614231101</v>
      </c>
      <c r="T151" s="241">
        <v>9.4558115448605697</v>
      </c>
      <c r="U151" s="241">
        <v>16.131733491995298</v>
      </c>
      <c r="V151" s="241">
        <v>76.183078262210898</v>
      </c>
      <c r="W151" s="241">
        <v>17.895745876442</v>
      </c>
      <c r="X151" s="241">
        <v>53.519761125618402</v>
      </c>
      <c r="Y151" s="241">
        <v>64.409039323923807</v>
      </c>
      <c r="Z151" s="241">
        <v>67.995460505294304</v>
      </c>
      <c r="AA151" s="241">
        <v>35.624015249176402</v>
      </c>
      <c r="AB151" s="241">
        <v>50.099714628852297</v>
      </c>
      <c r="AC151" s="241">
        <v>52.844346015271199</v>
      </c>
      <c r="AD151" s="241">
        <v>22.6633171365925</v>
      </c>
      <c r="AE151" s="241">
        <v>8.1876177569166693</v>
      </c>
      <c r="AF151" s="241">
        <v>2.9032258064516099</v>
      </c>
      <c r="AG151" s="241">
        <v>7.2113752122241097</v>
      </c>
      <c r="AH151" s="241">
        <v>22.459677419354801</v>
      </c>
      <c r="AI151" s="241">
        <v>39.603140916808101</v>
      </c>
      <c r="AJ151" s="241">
        <v>8.8900679117147696</v>
      </c>
      <c r="AK151" s="241">
        <v>15.248302207130701</v>
      </c>
      <c r="AL151" s="241">
        <v>77.540322580645096</v>
      </c>
      <c r="AM151" s="241">
        <v>17.1434634974533</v>
      </c>
      <c r="AN151" s="241">
        <v>53.2205008488964</v>
      </c>
      <c r="AO151" s="241">
        <v>64.260398981324201</v>
      </c>
      <c r="AP151" s="241">
        <v>67.763157894736807</v>
      </c>
      <c r="AQ151" s="241">
        <v>36.077037351443103</v>
      </c>
      <c r="AR151" s="241">
        <v>50.619694397283503</v>
      </c>
      <c r="AS151" s="241">
        <v>24.3198217317487</v>
      </c>
      <c r="AT151" s="249">
        <v>9.7771646859083106</v>
      </c>
    </row>
    <row r="152" spans="1:46" x14ac:dyDescent="0.4">
      <c r="A152" s="247" t="s">
        <v>696</v>
      </c>
      <c r="B152" s="248">
        <v>670</v>
      </c>
      <c r="C152" s="249" t="s">
        <v>697</v>
      </c>
      <c r="D152" s="249" t="s">
        <v>204</v>
      </c>
      <c r="E152" s="249" t="s">
        <v>205</v>
      </c>
      <c r="F152" s="247">
        <v>1</v>
      </c>
      <c r="G152" s="250" t="e">
        <f t="shared" si="6"/>
        <v>#N/A</v>
      </c>
      <c r="H152" s="250" t="e">
        <f t="shared" si="7"/>
        <v>#N/A</v>
      </c>
      <c r="I152" s="247">
        <v>2.7E-2</v>
      </c>
      <c r="J152" s="247">
        <v>16.306000000000001</v>
      </c>
      <c r="K152" s="247">
        <v>45</v>
      </c>
      <c r="L152" s="247">
        <v>11.5</v>
      </c>
      <c r="M152" s="247">
        <v>18.3</v>
      </c>
      <c r="N152" s="250">
        <v>55.231999999999999</v>
      </c>
      <c r="O152" s="250">
        <v>54.23</v>
      </c>
      <c r="P152" s="249">
        <v>3.0036935110081102</v>
      </c>
      <c r="Q152" s="249">
        <v>7.79620509849362</v>
      </c>
      <c r="R152" s="249">
        <v>24.574522016222499</v>
      </c>
      <c r="S152" s="249">
        <v>42.2852694090382</v>
      </c>
      <c r="T152" s="249">
        <v>9.9905851680185407</v>
      </c>
      <c r="U152" s="249">
        <v>16.778316917728802</v>
      </c>
      <c r="V152" s="249">
        <v>75.425477983777498</v>
      </c>
      <c r="W152" s="249">
        <v>17.710747392815801</v>
      </c>
      <c r="X152" s="249">
        <v>53.438224217844699</v>
      </c>
      <c r="Y152" s="249">
        <v>65.195900926998803</v>
      </c>
      <c r="Z152" s="249">
        <v>68.7536210892236</v>
      </c>
      <c r="AA152" s="249">
        <v>35.727476825029001</v>
      </c>
      <c r="AB152" s="249">
        <v>51.042873696407902</v>
      </c>
      <c r="AC152" s="249">
        <v>53.469003476245597</v>
      </c>
      <c r="AD152" s="249">
        <v>21.987253765932799</v>
      </c>
      <c r="AE152" s="249">
        <v>6.6718568945538799</v>
      </c>
      <c r="AF152" s="249">
        <v>2.98174442190669</v>
      </c>
      <c r="AG152" s="249">
        <v>7.7558546929743697</v>
      </c>
      <c r="AH152" s="249">
        <v>24.482758620689701</v>
      </c>
      <c r="AI152" s="249">
        <v>42.030241563710099</v>
      </c>
      <c r="AJ152" s="249">
        <v>9.9704960354047607</v>
      </c>
      <c r="AK152" s="249">
        <v>16.726903927715298</v>
      </c>
      <c r="AL152" s="249">
        <v>75.517241379310306</v>
      </c>
      <c r="AM152" s="249">
        <v>17.547482943020501</v>
      </c>
      <c r="AN152" s="249">
        <v>52.590816891019699</v>
      </c>
      <c r="AO152" s="249">
        <v>63.8521113774664</v>
      </c>
      <c r="AP152" s="249">
        <v>67.512446985063605</v>
      </c>
      <c r="AQ152" s="249">
        <v>35.043333947999301</v>
      </c>
      <c r="AR152" s="249">
        <v>49.9649640420431</v>
      </c>
      <c r="AS152" s="249">
        <v>22.9264244882906</v>
      </c>
      <c r="AT152" s="241">
        <v>8.0047943942467299</v>
      </c>
    </row>
    <row r="153" spans="1:46" x14ac:dyDescent="0.4">
      <c r="A153" s="251" t="s">
        <v>698</v>
      </c>
      <c r="B153" s="252">
        <v>882</v>
      </c>
      <c r="C153" s="253" t="s">
        <v>699</v>
      </c>
      <c r="D153" s="253" t="s">
        <v>700</v>
      </c>
      <c r="E153" s="253" t="s">
        <v>701</v>
      </c>
      <c r="F153" s="251">
        <v>1</v>
      </c>
      <c r="G153" s="254" t="e">
        <f t="shared" si="6"/>
        <v>#N/A</v>
      </c>
      <c r="H153" s="254" t="e">
        <f t="shared" si="7"/>
        <v>#N/A</v>
      </c>
      <c r="I153" s="251">
        <v>0.75900000000000001</v>
      </c>
      <c r="J153" s="251">
        <v>26.172000000000001</v>
      </c>
      <c r="K153" s="251">
        <v>51</v>
      </c>
      <c r="L153" s="251">
        <v>9.5</v>
      </c>
      <c r="M153" s="251">
        <v>17.5</v>
      </c>
      <c r="N153" s="254">
        <v>99.644000000000005</v>
      </c>
      <c r="O153" s="254">
        <v>93.584000000000003</v>
      </c>
      <c r="P153" s="241">
        <v>4.7398739512665102</v>
      </c>
      <c r="Q153" s="241">
        <v>12.5868090401831</v>
      </c>
      <c r="R153" s="241">
        <v>37.424230259724602</v>
      </c>
      <c r="S153" s="241">
        <v>57.3009915298463</v>
      </c>
      <c r="T153" s="241">
        <v>15.5925093332263</v>
      </c>
      <c r="U153" s="241">
        <v>24.8374212195416</v>
      </c>
      <c r="V153" s="241">
        <v>62.575769740275398</v>
      </c>
      <c r="W153" s="241">
        <v>19.876761270121602</v>
      </c>
      <c r="X153" s="241">
        <v>47.9276223355144</v>
      </c>
      <c r="Y153" s="241">
        <v>55.651117980008799</v>
      </c>
      <c r="Z153" s="241">
        <v>58.2282927220906</v>
      </c>
      <c r="AA153" s="241">
        <v>28.050861065392802</v>
      </c>
      <c r="AB153" s="241">
        <v>38.351531451969002</v>
      </c>
      <c r="AC153" s="241">
        <v>39.983340692866598</v>
      </c>
      <c r="AD153" s="241">
        <v>14.6481474047609</v>
      </c>
      <c r="AE153" s="241">
        <v>4.3474770181847404</v>
      </c>
      <c r="AF153" s="241">
        <v>4.7315780475294904</v>
      </c>
      <c r="AG153" s="241">
        <v>12.4316122414088</v>
      </c>
      <c r="AH153" s="241">
        <v>37.148444178492099</v>
      </c>
      <c r="AI153" s="241">
        <v>56.129252863737399</v>
      </c>
      <c r="AJ153" s="241">
        <v>15.433193708326201</v>
      </c>
      <c r="AK153" s="241">
        <v>24.716831937083299</v>
      </c>
      <c r="AL153" s="241">
        <v>62.851555821508001</v>
      </c>
      <c r="AM153" s="241">
        <v>18.9808086852453</v>
      </c>
      <c r="AN153" s="241">
        <v>46.067703881005301</v>
      </c>
      <c r="AO153" s="241">
        <v>53.915199179346899</v>
      </c>
      <c r="AP153" s="241">
        <v>56.674217815011097</v>
      </c>
      <c r="AQ153" s="241">
        <v>27.08689519576</v>
      </c>
      <c r="AR153" s="241">
        <v>37.693409129765797</v>
      </c>
      <c r="AS153" s="241">
        <v>16.7838519405027</v>
      </c>
      <c r="AT153" s="249">
        <v>6.1773380064968402</v>
      </c>
    </row>
    <row r="154" spans="1:46" x14ac:dyDescent="0.4">
      <c r="A154" s="247" t="s">
        <v>702</v>
      </c>
      <c r="B154" s="248">
        <v>674</v>
      </c>
      <c r="C154" s="249" t="s">
        <v>703</v>
      </c>
      <c r="D154" s="249" t="s">
        <v>196</v>
      </c>
      <c r="E154" s="249" t="s">
        <v>197</v>
      </c>
      <c r="F154" s="247">
        <v>1.2617355060728741</v>
      </c>
      <c r="G154" s="250" t="e">
        <f t="shared" si="6"/>
        <v>#N/A</v>
      </c>
      <c r="H154" s="250" t="e">
        <f t="shared" si="7"/>
        <v>#N/A</v>
      </c>
      <c r="I154" s="247">
        <v>0.69899999999999995</v>
      </c>
      <c r="J154" s="247">
        <v>0</v>
      </c>
      <c r="K154" s="247">
        <v>0</v>
      </c>
      <c r="L154" s="247">
        <v>0.7</v>
      </c>
      <c r="M154" s="247">
        <v>2.9</v>
      </c>
      <c r="N154" s="250" t="e">
        <v>#N/A</v>
      </c>
      <c r="O154" s="250" t="e">
        <v>#N/A</v>
      </c>
      <c r="P154" s="249" t="e">
        <v>#N/A</v>
      </c>
      <c r="Q154" s="249" t="e">
        <v>#N/A</v>
      </c>
      <c r="R154" s="249" t="e">
        <v>#N/A</v>
      </c>
      <c r="S154" s="249" t="e">
        <v>#N/A</v>
      </c>
      <c r="T154" s="249" t="e">
        <v>#N/A</v>
      </c>
      <c r="U154" s="249" t="e">
        <v>#N/A</v>
      </c>
      <c r="V154" s="249" t="e">
        <v>#N/A</v>
      </c>
      <c r="W154" s="249" t="e">
        <v>#N/A</v>
      </c>
      <c r="X154" s="249" t="e">
        <v>#N/A</v>
      </c>
      <c r="Y154" s="249" t="e">
        <v>#N/A</v>
      </c>
      <c r="Z154" s="249" t="e">
        <v>#N/A</v>
      </c>
      <c r="AA154" s="249" t="e">
        <v>#N/A</v>
      </c>
      <c r="AB154" s="249" t="e">
        <v>#N/A</v>
      </c>
      <c r="AC154" s="249" t="e">
        <v>#N/A</v>
      </c>
      <c r="AD154" s="249" t="e">
        <v>#N/A</v>
      </c>
      <c r="AE154" s="249" t="e">
        <v>#N/A</v>
      </c>
      <c r="AF154" s="249" t="e">
        <v>#N/A</v>
      </c>
      <c r="AG154" s="249" t="e">
        <v>#N/A</v>
      </c>
      <c r="AH154" s="249" t="e">
        <v>#N/A</v>
      </c>
      <c r="AI154" s="249" t="e">
        <v>#N/A</v>
      </c>
      <c r="AJ154" s="249" t="e">
        <v>#N/A</v>
      </c>
      <c r="AK154" s="249" t="e">
        <v>#N/A</v>
      </c>
      <c r="AL154" s="249" t="e">
        <v>#N/A</v>
      </c>
      <c r="AM154" s="249" t="e">
        <v>#N/A</v>
      </c>
      <c r="AN154" s="249" t="e">
        <v>#N/A</v>
      </c>
      <c r="AO154" s="249" t="e">
        <v>#N/A</v>
      </c>
      <c r="AP154" s="249" t="e">
        <v>#N/A</v>
      </c>
      <c r="AQ154" s="249" t="e">
        <v>#N/A</v>
      </c>
      <c r="AR154" s="249" t="e">
        <v>#N/A</v>
      </c>
      <c r="AS154" s="249" t="e">
        <v>#N/A</v>
      </c>
      <c r="AT154" s="241" t="e">
        <v>#N/A</v>
      </c>
    </row>
    <row r="155" spans="1:46" x14ac:dyDescent="0.4">
      <c r="A155" s="251" t="s">
        <v>704</v>
      </c>
      <c r="B155" s="252">
        <v>678</v>
      </c>
      <c r="C155" s="253" t="s">
        <v>705</v>
      </c>
      <c r="D155" s="253" t="s">
        <v>706</v>
      </c>
      <c r="E155" s="253" t="s">
        <v>707</v>
      </c>
      <c r="F155" s="251">
        <v>1</v>
      </c>
      <c r="G155" s="254" t="e">
        <f t="shared" si="6"/>
        <v>#N/A</v>
      </c>
      <c r="H155" s="254" t="e">
        <f t="shared" si="7"/>
        <v>#N/A</v>
      </c>
      <c r="I155" s="251">
        <v>2.157</v>
      </c>
      <c r="J155" s="251">
        <v>34.536999999999999</v>
      </c>
      <c r="K155" s="251">
        <v>156</v>
      </c>
      <c r="L155" s="251">
        <v>17.100000000000001</v>
      </c>
      <c r="M155" s="251">
        <v>47.3</v>
      </c>
      <c r="N155" s="254">
        <v>94.759</v>
      </c>
      <c r="O155" s="254">
        <v>95.584999999999994</v>
      </c>
      <c r="P155" s="241">
        <v>6.5112548676115196</v>
      </c>
      <c r="Q155" s="241">
        <v>15.751538112474799</v>
      </c>
      <c r="R155" s="241">
        <v>43.154739919163397</v>
      </c>
      <c r="S155" s="241">
        <v>62.813030952205096</v>
      </c>
      <c r="T155" s="241">
        <v>17.1033885963339</v>
      </c>
      <c r="U155" s="241">
        <v>27.4032018066886</v>
      </c>
      <c r="V155" s="241">
        <v>56.845260080836702</v>
      </c>
      <c r="W155" s="241">
        <v>19.658291033041699</v>
      </c>
      <c r="X155" s="241">
        <v>48.5674183982524</v>
      </c>
      <c r="Y155" s="241">
        <v>52.982830126953601</v>
      </c>
      <c r="Z155" s="241">
        <v>54.170052448843897</v>
      </c>
      <c r="AA155" s="241">
        <v>28.909127365210701</v>
      </c>
      <c r="AB155" s="241">
        <v>34.511761415802198</v>
      </c>
      <c r="AC155" s="241">
        <v>35.228316043858598</v>
      </c>
      <c r="AD155" s="241">
        <v>8.2778416825842402</v>
      </c>
      <c r="AE155" s="241">
        <v>2.6752076319927398</v>
      </c>
      <c r="AF155" s="241">
        <v>6.3263064288329698</v>
      </c>
      <c r="AG155" s="241">
        <v>15.326672595072401</v>
      </c>
      <c r="AH155" s="241">
        <v>42.104932782340299</v>
      </c>
      <c r="AI155" s="241">
        <v>61.285766595177101</v>
      </c>
      <c r="AJ155" s="241">
        <v>16.707642412512399</v>
      </c>
      <c r="AK155" s="241">
        <v>26.7782601872679</v>
      </c>
      <c r="AL155" s="241">
        <v>57.895067217659701</v>
      </c>
      <c r="AM155" s="241">
        <v>19.180833812836699</v>
      </c>
      <c r="AN155" s="241">
        <v>47.594287806664198</v>
      </c>
      <c r="AO155" s="241">
        <v>52.882774493905899</v>
      </c>
      <c r="AP155" s="241">
        <v>54.402887482345598</v>
      </c>
      <c r="AQ155" s="241">
        <v>28.413453993827499</v>
      </c>
      <c r="AR155" s="241">
        <v>35.222053669508803</v>
      </c>
      <c r="AS155" s="241">
        <v>10.3007794109954</v>
      </c>
      <c r="AT155" s="249">
        <v>3.49217973531412</v>
      </c>
    </row>
    <row r="156" spans="1:46" x14ac:dyDescent="0.4">
      <c r="A156" s="247" t="s">
        <v>708</v>
      </c>
      <c r="B156" s="248">
        <v>682</v>
      </c>
      <c r="C156" s="249" t="s">
        <v>709</v>
      </c>
      <c r="D156" s="249" t="s">
        <v>710</v>
      </c>
      <c r="E156" s="249" t="s">
        <v>711</v>
      </c>
      <c r="F156" s="247">
        <v>5.2455399596774175</v>
      </c>
      <c r="G156" s="250" t="e">
        <f t="shared" si="6"/>
        <v>#N/A</v>
      </c>
      <c r="H156" s="250" t="e">
        <f t="shared" si="7"/>
        <v>#N/A</v>
      </c>
      <c r="I156" s="247">
        <v>2.3170000000000002</v>
      </c>
      <c r="J156" s="247">
        <v>20.576000000000001</v>
      </c>
      <c r="K156" s="247">
        <v>12</v>
      </c>
      <c r="L156" s="247">
        <v>7.9</v>
      </c>
      <c r="M156" s="247">
        <v>14.5</v>
      </c>
      <c r="N156" s="250">
        <v>17835.91</v>
      </c>
      <c r="O156" s="250">
        <v>13704.462</v>
      </c>
      <c r="P156" s="249">
        <v>3.5178805006304699</v>
      </c>
      <c r="Q156" s="249">
        <v>9.0135911203857795</v>
      </c>
      <c r="R156" s="249">
        <v>25.796726940201001</v>
      </c>
      <c r="S156" s="249">
        <v>39.684496053187097</v>
      </c>
      <c r="T156" s="249">
        <v>10.5596854884332</v>
      </c>
      <c r="U156" s="249">
        <v>16.7831358198152</v>
      </c>
      <c r="V156" s="249">
        <v>74.203273059799002</v>
      </c>
      <c r="W156" s="249">
        <v>13.887769112986099</v>
      </c>
      <c r="X156" s="249">
        <v>60.4910598898514</v>
      </c>
      <c r="Y156" s="249">
        <v>69.514574810032101</v>
      </c>
      <c r="Z156" s="249">
        <v>71.835975848723194</v>
      </c>
      <c r="AA156" s="249">
        <v>46.6032907768653</v>
      </c>
      <c r="AB156" s="249">
        <v>57.948206735737102</v>
      </c>
      <c r="AC156" s="249">
        <v>58.902618369345902</v>
      </c>
      <c r="AD156" s="249">
        <v>13.712213169947599</v>
      </c>
      <c r="AE156" s="249">
        <v>2.3672972110758601</v>
      </c>
      <c r="AF156" s="249">
        <v>4.4450194396540397</v>
      </c>
      <c r="AG156" s="249">
        <v>11.337956936945099</v>
      </c>
      <c r="AH156" s="249">
        <v>32.206970255381101</v>
      </c>
      <c r="AI156" s="249">
        <v>50.1046447500092</v>
      </c>
      <c r="AJ156" s="249">
        <v>13.1073879441601</v>
      </c>
      <c r="AK156" s="249">
        <v>20.869013318436</v>
      </c>
      <c r="AL156" s="249">
        <v>67.793029744618906</v>
      </c>
      <c r="AM156" s="249">
        <v>17.897674494628099</v>
      </c>
      <c r="AN156" s="249">
        <v>55.882733667326796</v>
      </c>
      <c r="AO156" s="249">
        <v>62.347992938358303</v>
      </c>
      <c r="AP156" s="249">
        <v>64.286485671601</v>
      </c>
      <c r="AQ156" s="249">
        <v>37.985059172698598</v>
      </c>
      <c r="AR156" s="249">
        <v>46.388811176972901</v>
      </c>
      <c r="AS156" s="249">
        <v>11.9102960772922</v>
      </c>
      <c r="AT156" s="241">
        <v>3.5065440730179702</v>
      </c>
    </row>
    <row r="157" spans="1:46" x14ac:dyDescent="0.4">
      <c r="A157" s="251" t="s">
        <v>712</v>
      </c>
      <c r="B157" s="252">
        <v>686</v>
      </c>
      <c r="C157" s="253" t="s">
        <v>713</v>
      </c>
      <c r="D157" s="253" t="s">
        <v>252</v>
      </c>
      <c r="E157" s="253" t="s">
        <v>253</v>
      </c>
      <c r="F157" s="251">
        <v>1</v>
      </c>
      <c r="G157" s="254" t="e">
        <f t="shared" si="6"/>
        <v>#N/A</v>
      </c>
      <c r="H157" s="254" t="e">
        <f t="shared" si="7"/>
        <v>#N/A</v>
      </c>
      <c r="I157" s="251">
        <v>3.1</v>
      </c>
      <c r="J157" s="251">
        <v>38.533000000000001</v>
      </c>
      <c r="K157" s="251">
        <v>315</v>
      </c>
      <c r="L157" s="251">
        <v>20.8</v>
      </c>
      <c r="M157" s="251">
        <v>47.2</v>
      </c>
      <c r="N157" s="254">
        <v>7428.68</v>
      </c>
      <c r="O157" s="254">
        <v>7700.5929999999998</v>
      </c>
      <c r="P157" s="241">
        <v>7.5132728829347899</v>
      </c>
      <c r="Q157" s="241">
        <v>17.7479309917778</v>
      </c>
      <c r="R157" s="241">
        <v>45.108013805952098</v>
      </c>
      <c r="S157" s="241">
        <v>65.169410985531698</v>
      </c>
      <c r="T157" s="241">
        <v>17.471704259707</v>
      </c>
      <c r="U157" s="241">
        <v>27.360082814174302</v>
      </c>
      <c r="V157" s="241">
        <v>54.891986194047902</v>
      </c>
      <c r="W157" s="241">
        <v>20.0613971795797</v>
      </c>
      <c r="X157" s="241">
        <v>46.777072104330799</v>
      </c>
      <c r="Y157" s="241">
        <v>50.925386475120703</v>
      </c>
      <c r="Z157" s="241">
        <v>52.337077381176698</v>
      </c>
      <c r="AA157" s="241">
        <v>26.715674924751099</v>
      </c>
      <c r="AB157" s="241">
        <v>32.275680201597098</v>
      </c>
      <c r="AC157" s="241">
        <v>33.288417323131398</v>
      </c>
      <c r="AD157" s="241">
        <v>8.1149140897171499</v>
      </c>
      <c r="AE157" s="241">
        <v>2.5549088128711999</v>
      </c>
      <c r="AF157" s="241">
        <v>7.0522750650501802</v>
      </c>
      <c r="AG157" s="241">
        <v>16.659431293148501</v>
      </c>
      <c r="AH157" s="241">
        <v>42.463703769307102</v>
      </c>
      <c r="AI157" s="241">
        <v>61.683911875358199</v>
      </c>
      <c r="AJ157" s="241">
        <v>16.4437855630079</v>
      </c>
      <c r="AK157" s="241">
        <v>25.804272476158602</v>
      </c>
      <c r="AL157" s="241">
        <v>57.536296230692898</v>
      </c>
      <c r="AM157" s="241">
        <v>19.2202081060511</v>
      </c>
      <c r="AN157" s="241">
        <v>47.437697330582203</v>
      </c>
      <c r="AO157" s="241">
        <v>52.4807634944478</v>
      </c>
      <c r="AP157" s="241">
        <v>54.237524304946398</v>
      </c>
      <c r="AQ157" s="241">
        <v>28.217489224531199</v>
      </c>
      <c r="AR157" s="241">
        <v>35.017316198895301</v>
      </c>
      <c r="AS157" s="241">
        <v>10.0985989001107</v>
      </c>
      <c r="AT157" s="249">
        <v>3.2987719257464998</v>
      </c>
    </row>
    <row r="158" spans="1:46" x14ac:dyDescent="0.4">
      <c r="A158" s="247" t="s">
        <v>714</v>
      </c>
      <c r="B158" s="248">
        <v>688</v>
      </c>
      <c r="C158" s="249" t="s">
        <v>715</v>
      </c>
      <c r="D158" s="249" t="s">
        <v>716</v>
      </c>
      <c r="E158" s="249" t="s">
        <v>717</v>
      </c>
      <c r="F158" s="247">
        <v>1</v>
      </c>
      <c r="G158" s="250" t="e">
        <f t="shared" si="6"/>
        <v>#N/A</v>
      </c>
      <c r="H158" s="250" t="e">
        <f t="shared" si="7"/>
        <v>#N/A</v>
      </c>
      <c r="I158" s="247">
        <v>-0.46500000000000002</v>
      </c>
      <c r="J158" s="247">
        <v>9.1999999999999993</v>
      </c>
      <c r="K158" s="247">
        <v>17</v>
      </c>
      <c r="L158" s="247">
        <v>4.2</v>
      </c>
      <c r="M158" s="247">
        <v>6.7</v>
      </c>
      <c r="N158" s="250">
        <v>4319.6469999999999</v>
      </c>
      <c r="O158" s="250">
        <v>4531.3280000000004</v>
      </c>
      <c r="P158" s="249">
        <v>2.16334806987701</v>
      </c>
      <c r="Q158" s="249">
        <v>5.3427050867814003</v>
      </c>
      <c r="R158" s="249">
        <v>17.096744247851699</v>
      </c>
      <c r="S158" s="249">
        <v>30.442672746175798</v>
      </c>
      <c r="T158" s="249">
        <v>6.7463614503685196</v>
      </c>
      <c r="U158" s="249">
        <v>11.754039161070301</v>
      </c>
      <c r="V158" s="249">
        <v>82.903255752148297</v>
      </c>
      <c r="W158" s="249">
        <v>13.345928498324101</v>
      </c>
      <c r="X158" s="249">
        <v>48.404510831556401</v>
      </c>
      <c r="Y158" s="249">
        <v>60.987668668296301</v>
      </c>
      <c r="Z158" s="249">
        <v>68.150985485619501</v>
      </c>
      <c r="AA158" s="249">
        <v>35.058582333232302</v>
      </c>
      <c r="AB158" s="249">
        <v>54.805056987295501</v>
      </c>
      <c r="AC158" s="249">
        <v>60.658313051969301</v>
      </c>
      <c r="AD158" s="249">
        <v>34.498744920591903</v>
      </c>
      <c r="AE158" s="249">
        <v>14.752270266528701</v>
      </c>
      <c r="AF158" s="249">
        <v>1.9669289003135499</v>
      </c>
      <c r="AG158" s="249">
        <v>4.8566336402926504</v>
      </c>
      <c r="AH158" s="249">
        <v>15.5410952374227</v>
      </c>
      <c r="AI158" s="249">
        <v>27.492095032626199</v>
      </c>
      <c r="AJ158" s="249">
        <v>6.14027499223186</v>
      </c>
      <c r="AK158" s="249">
        <v>10.684461597129999</v>
      </c>
      <c r="AL158" s="249">
        <v>84.458904762577305</v>
      </c>
      <c r="AM158" s="249">
        <v>11.950999795203501</v>
      </c>
      <c r="AN158" s="249">
        <v>44.958586092200797</v>
      </c>
      <c r="AO158" s="249">
        <v>57.612448271235301</v>
      </c>
      <c r="AP158" s="249">
        <v>65.155292223383498</v>
      </c>
      <c r="AQ158" s="249">
        <v>33.007586296997303</v>
      </c>
      <c r="AR158" s="249">
        <v>53.204292428179997</v>
      </c>
      <c r="AS158" s="249">
        <v>39.500318670376501</v>
      </c>
      <c r="AT158" s="241">
        <v>19.3036125391938</v>
      </c>
    </row>
    <row r="159" spans="1:46" x14ac:dyDescent="0.4">
      <c r="A159" s="251" t="s">
        <v>718</v>
      </c>
      <c r="B159" s="252">
        <v>690</v>
      </c>
      <c r="C159" s="253" t="s">
        <v>719</v>
      </c>
      <c r="D159" s="253" t="s">
        <v>720</v>
      </c>
      <c r="E159" s="253" t="s">
        <v>721</v>
      </c>
      <c r="F159" s="251">
        <v>1</v>
      </c>
      <c r="G159" s="254" t="e">
        <f t="shared" si="6"/>
        <v>#N/A</v>
      </c>
      <c r="H159" s="254" t="e">
        <f t="shared" si="7"/>
        <v>#N/A</v>
      </c>
      <c r="I159" s="251">
        <v>0.71499999999999997</v>
      </c>
      <c r="J159" s="251">
        <v>18.600000000000001</v>
      </c>
      <c r="K159" s="251">
        <v>0</v>
      </c>
      <c r="L159" s="251">
        <v>8.6</v>
      </c>
      <c r="M159" s="251">
        <v>13.6</v>
      </c>
      <c r="N159" s="254">
        <v>48.866</v>
      </c>
      <c r="O159" s="254">
        <v>47.604999999999997</v>
      </c>
      <c r="P159" s="241">
        <v>3.4952727868047302</v>
      </c>
      <c r="Q159" s="241">
        <v>8.7852494577006492</v>
      </c>
      <c r="R159" s="241">
        <v>23.644251626898001</v>
      </c>
      <c r="S159" s="241">
        <v>38.386608275692701</v>
      </c>
      <c r="T159" s="241">
        <v>9.4871689927557004</v>
      </c>
      <c r="U159" s="241">
        <v>14.859002169197399</v>
      </c>
      <c r="V159" s="241">
        <v>76.355748373101903</v>
      </c>
      <c r="W159" s="241">
        <v>14.742356648794701</v>
      </c>
      <c r="X159" s="241">
        <v>54.800884050259903</v>
      </c>
      <c r="Y159" s="241">
        <v>66.782630049523206</v>
      </c>
      <c r="Z159" s="241">
        <v>70.734252854745606</v>
      </c>
      <c r="AA159" s="241">
        <v>40.058527401465199</v>
      </c>
      <c r="AB159" s="241">
        <v>55.991896205951001</v>
      </c>
      <c r="AC159" s="241">
        <v>57.864363770310597</v>
      </c>
      <c r="AD159" s="241">
        <v>21.5548643228421</v>
      </c>
      <c r="AE159" s="241">
        <v>5.62149551835632</v>
      </c>
      <c r="AF159" s="241">
        <v>3.41350698456045</v>
      </c>
      <c r="AG159" s="241">
        <v>8.5831320239470692</v>
      </c>
      <c r="AH159" s="241">
        <v>23.241256170570299</v>
      </c>
      <c r="AI159" s="241">
        <v>37.489759479046299</v>
      </c>
      <c r="AJ159" s="241">
        <v>9.3393551097573795</v>
      </c>
      <c r="AK159" s="241">
        <v>14.658124146623299</v>
      </c>
      <c r="AL159" s="241">
        <v>76.758743829429704</v>
      </c>
      <c r="AM159" s="241">
        <v>14.248503308476</v>
      </c>
      <c r="AN159" s="241">
        <v>52.074361936771403</v>
      </c>
      <c r="AO159" s="241">
        <v>64.432307530721602</v>
      </c>
      <c r="AP159" s="241">
        <v>68.589433882995493</v>
      </c>
      <c r="AQ159" s="241">
        <v>37.8258586282953</v>
      </c>
      <c r="AR159" s="241">
        <v>54.340930574519497</v>
      </c>
      <c r="AS159" s="241">
        <v>24.684381892658301</v>
      </c>
      <c r="AT159" s="249">
        <v>8.1693099464342005</v>
      </c>
    </row>
    <row r="160" spans="1:46" x14ac:dyDescent="0.4">
      <c r="A160" s="247" t="s">
        <v>722</v>
      </c>
      <c r="B160" s="248">
        <v>694</v>
      </c>
      <c r="C160" s="249" t="s">
        <v>723</v>
      </c>
      <c r="D160" s="249" t="s">
        <v>724</v>
      </c>
      <c r="E160" s="249" t="s">
        <v>725</v>
      </c>
      <c r="F160" s="247">
        <v>4348</v>
      </c>
      <c r="G160" s="250" t="e">
        <f t="shared" si="6"/>
        <v>#N/A</v>
      </c>
      <c r="H160" s="250" t="e">
        <f t="shared" si="7"/>
        <v>#N/A</v>
      </c>
      <c r="I160" s="247">
        <v>2.218</v>
      </c>
      <c r="J160" s="247">
        <v>36.728999999999999</v>
      </c>
      <c r="K160" s="247">
        <v>1360</v>
      </c>
      <c r="L160" s="247">
        <v>34.9</v>
      </c>
      <c r="M160" s="247">
        <v>120.4</v>
      </c>
      <c r="N160" s="250">
        <v>3193.239</v>
      </c>
      <c r="O160" s="250">
        <v>3259.9450000000002</v>
      </c>
      <c r="P160" s="249">
        <v>6.4239475967818302</v>
      </c>
      <c r="Q160" s="249">
        <v>15.7609248790961</v>
      </c>
      <c r="R160" s="249">
        <v>42.753329769553702</v>
      </c>
      <c r="S160" s="249">
        <v>62.734233172023799</v>
      </c>
      <c r="T160" s="249">
        <v>17.061328638413901</v>
      </c>
      <c r="U160" s="249">
        <v>26.9924048904576</v>
      </c>
      <c r="V160" s="249">
        <v>57.246670230446298</v>
      </c>
      <c r="W160" s="249">
        <v>19.980903402469998</v>
      </c>
      <c r="X160" s="249">
        <v>48.062547150401201</v>
      </c>
      <c r="Y160" s="249">
        <v>52.960677230861798</v>
      </c>
      <c r="Z160" s="249">
        <v>54.619713713881097</v>
      </c>
      <c r="AA160" s="249">
        <v>28.081643747931199</v>
      </c>
      <c r="AB160" s="249">
        <v>34.638810311411099</v>
      </c>
      <c r="AC160" s="249">
        <v>35.924714686248002</v>
      </c>
      <c r="AD160" s="249">
        <v>9.18412308004506</v>
      </c>
      <c r="AE160" s="249">
        <v>2.6269565165651598</v>
      </c>
      <c r="AF160" s="249">
        <v>6.2363322080587302</v>
      </c>
      <c r="AG160" s="249">
        <v>15.3672531285037</v>
      </c>
      <c r="AH160" s="249">
        <v>41.980524211297997</v>
      </c>
      <c r="AI160" s="249">
        <v>62.051108224218503</v>
      </c>
      <c r="AJ160" s="249">
        <v>16.7893323353615</v>
      </c>
      <c r="AK160" s="249">
        <v>26.613271082794299</v>
      </c>
      <c r="AL160" s="249">
        <v>58.019475788702003</v>
      </c>
      <c r="AM160" s="249">
        <v>20.070584012920499</v>
      </c>
      <c r="AN160" s="249">
        <v>48.364282219485297</v>
      </c>
      <c r="AO160" s="249">
        <v>53.508049982438401</v>
      </c>
      <c r="AP160" s="249">
        <v>55.308325753962102</v>
      </c>
      <c r="AQ160" s="249">
        <v>28.293698206564802</v>
      </c>
      <c r="AR160" s="249">
        <v>35.237741741041702</v>
      </c>
      <c r="AS160" s="249">
        <v>9.6551935692166602</v>
      </c>
      <c r="AT160" s="241">
        <v>2.7111500347398501</v>
      </c>
    </row>
    <row r="161" spans="1:46" x14ac:dyDescent="0.4">
      <c r="A161" s="251" t="s">
        <v>726</v>
      </c>
      <c r="B161" s="252">
        <v>702</v>
      </c>
      <c r="C161" s="253" t="s">
        <v>727</v>
      </c>
      <c r="D161" s="253" t="s">
        <v>728</v>
      </c>
      <c r="E161" s="253" t="s">
        <v>729</v>
      </c>
      <c r="F161" s="251">
        <v>1.9235058649789025</v>
      </c>
      <c r="G161" s="254" t="e">
        <f t="shared" si="6"/>
        <v>#N/A</v>
      </c>
      <c r="H161" s="254" t="e">
        <f t="shared" si="7"/>
        <v>#N/A</v>
      </c>
      <c r="I161" s="251">
        <v>1.9670000000000001</v>
      </c>
      <c r="J161" s="251">
        <v>9.3000000000000007</v>
      </c>
      <c r="K161" s="251">
        <v>10</v>
      </c>
      <c r="L161" s="251">
        <v>1</v>
      </c>
      <c r="M161" s="251">
        <v>2.7</v>
      </c>
      <c r="N161" s="254">
        <v>2765.0349999999999</v>
      </c>
      <c r="O161" s="254">
        <v>2838.7049999999999</v>
      </c>
      <c r="P161" s="241">
        <v>2.0133922355413199</v>
      </c>
      <c r="Q161" s="241">
        <v>5.0155965476024704</v>
      </c>
      <c r="R161" s="241">
        <v>16.103448961767199</v>
      </c>
      <c r="S161" s="241">
        <v>29.707363559593301</v>
      </c>
      <c r="T161" s="241">
        <v>6.3518544973210096</v>
      </c>
      <c r="U161" s="241">
        <v>11.087852414164701</v>
      </c>
      <c r="V161" s="241">
        <v>83.896551038232801</v>
      </c>
      <c r="W161" s="241">
        <v>13.603914597826099</v>
      </c>
      <c r="X161" s="241">
        <v>50.773317516776402</v>
      </c>
      <c r="Y161" s="241">
        <v>66.975354742345004</v>
      </c>
      <c r="Z161" s="241">
        <v>73.207138426819199</v>
      </c>
      <c r="AA161" s="241">
        <v>37.169402918950396</v>
      </c>
      <c r="AB161" s="241">
        <v>59.603223828993102</v>
      </c>
      <c r="AC161" s="241">
        <v>64.153003488201804</v>
      </c>
      <c r="AD161" s="241">
        <v>33.123233521456299</v>
      </c>
      <c r="AE161" s="241">
        <v>10.6894126114136</v>
      </c>
      <c r="AF161" s="241">
        <v>1.8000109204725401</v>
      </c>
      <c r="AG161" s="241">
        <v>4.5810677756230396</v>
      </c>
      <c r="AH161" s="241">
        <v>14.997014483717001</v>
      </c>
      <c r="AI161" s="241">
        <v>27.759559376546701</v>
      </c>
      <c r="AJ161" s="241">
        <v>5.9908655531307398</v>
      </c>
      <c r="AK161" s="241">
        <v>10.415946708093999</v>
      </c>
      <c r="AL161" s="241">
        <v>85.002985516283005</v>
      </c>
      <c r="AM161" s="241">
        <v>12.7625448928297</v>
      </c>
      <c r="AN161" s="241">
        <v>50.602193605887201</v>
      </c>
      <c r="AO161" s="241">
        <v>66.236188684629099</v>
      </c>
      <c r="AP161" s="241">
        <v>72.356690815001897</v>
      </c>
      <c r="AQ161" s="241">
        <v>37.8396487130575</v>
      </c>
      <c r="AR161" s="241">
        <v>59.594145922172302</v>
      </c>
      <c r="AS161" s="241">
        <v>34.400791910395803</v>
      </c>
      <c r="AT161" s="249">
        <v>12.646294701281001</v>
      </c>
    </row>
    <row r="162" spans="1:46" x14ac:dyDescent="0.4">
      <c r="A162" s="247" t="s">
        <v>730</v>
      </c>
      <c r="B162" s="248">
        <v>703</v>
      </c>
      <c r="C162" s="249" t="s">
        <v>731</v>
      </c>
      <c r="D162" s="249" t="s">
        <v>732</v>
      </c>
      <c r="E162" s="249" t="s">
        <v>733</v>
      </c>
      <c r="F162" s="247">
        <v>1</v>
      </c>
      <c r="G162" s="250" t="e">
        <f t="shared" si="6"/>
        <v>#N/A</v>
      </c>
      <c r="H162" s="250" t="e">
        <f t="shared" si="7"/>
        <v>#N/A</v>
      </c>
      <c r="I162" s="247">
        <v>7.0999999999999994E-2</v>
      </c>
      <c r="J162" s="247">
        <v>10.1</v>
      </c>
      <c r="K162" s="247">
        <v>6</v>
      </c>
      <c r="L162" s="247">
        <v>4.2</v>
      </c>
      <c r="M162" s="247">
        <v>7.3</v>
      </c>
      <c r="N162" s="250">
        <v>2630.1350000000002</v>
      </c>
      <c r="O162" s="250">
        <v>2796.123</v>
      </c>
      <c r="P162" s="249">
        <v>2.1350234873875298</v>
      </c>
      <c r="Q162" s="249">
        <v>5.5069416588882296</v>
      </c>
      <c r="R162" s="249">
        <v>15.9678875799151</v>
      </c>
      <c r="S162" s="249">
        <v>28.529067899556502</v>
      </c>
      <c r="T162" s="249">
        <v>6.4624819638535698</v>
      </c>
      <c r="U162" s="249">
        <v>10.4609459210269</v>
      </c>
      <c r="V162" s="249">
        <v>84.0321124200849</v>
      </c>
      <c r="W162" s="249">
        <v>12.5611803196414</v>
      </c>
      <c r="X162" s="249">
        <v>52.906980059958897</v>
      </c>
      <c r="Y162" s="249">
        <v>66.710111838365705</v>
      </c>
      <c r="Z162" s="249">
        <v>73.120353137766699</v>
      </c>
      <c r="AA162" s="249">
        <v>40.345799740317503</v>
      </c>
      <c r="AB162" s="249">
        <v>60.559172818125298</v>
      </c>
      <c r="AC162" s="249">
        <v>64.905109433546201</v>
      </c>
      <c r="AD162" s="249">
        <v>31.125132360125999</v>
      </c>
      <c r="AE162" s="249">
        <v>10.911759282318201</v>
      </c>
      <c r="AF162" s="249">
        <v>1.9142934699224601</v>
      </c>
      <c r="AG162" s="249">
        <v>4.9394822759943002</v>
      </c>
      <c r="AH162" s="249">
        <v>14.3295198387195</v>
      </c>
      <c r="AI162" s="249">
        <v>25.605883575221799</v>
      </c>
      <c r="AJ162" s="249">
        <v>5.8014615236883396</v>
      </c>
      <c r="AK162" s="249">
        <v>9.3900375627252508</v>
      </c>
      <c r="AL162" s="249">
        <v>85.670480161280494</v>
      </c>
      <c r="AM162" s="249">
        <v>11.276363736502301</v>
      </c>
      <c r="AN162" s="249">
        <v>48.366935217084503</v>
      </c>
      <c r="AO162" s="249">
        <v>62.118941119543003</v>
      </c>
      <c r="AP162" s="249">
        <v>69.0662392176596</v>
      </c>
      <c r="AQ162" s="249">
        <v>37.090571480582199</v>
      </c>
      <c r="AR162" s="249">
        <v>57.789875481157303</v>
      </c>
      <c r="AS162" s="249">
        <v>37.303544944195899</v>
      </c>
      <c r="AT162" s="241">
        <v>16.604240943620901</v>
      </c>
    </row>
    <row r="163" spans="1:46" x14ac:dyDescent="0.4">
      <c r="A163" s="251" t="s">
        <v>734</v>
      </c>
      <c r="B163" s="252">
        <v>705</v>
      </c>
      <c r="C163" s="253" t="s">
        <v>735</v>
      </c>
      <c r="D163" s="253" t="s">
        <v>736</v>
      </c>
      <c r="E163" s="253" t="s">
        <v>737</v>
      </c>
      <c r="F163" s="251">
        <v>1</v>
      </c>
      <c r="G163" s="254" t="e">
        <f t="shared" si="6"/>
        <v>#N/A</v>
      </c>
      <c r="H163" s="254" t="e">
        <f t="shared" si="7"/>
        <v>#N/A</v>
      </c>
      <c r="I163" s="251">
        <v>0.14599999999999999</v>
      </c>
      <c r="J163" s="251">
        <v>10.199999999999999</v>
      </c>
      <c r="K163" s="251">
        <v>9</v>
      </c>
      <c r="L163" s="251">
        <v>1.4</v>
      </c>
      <c r="M163" s="251">
        <v>2.6</v>
      </c>
      <c r="N163" s="254">
        <v>1024.828</v>
      </c>
      <c r="O163" s="254">
        <v>1042.6980000000001</v>
      </c>
      <c r="P163" s="241">
        <v>2.2181283103115801</v>
      </c>
      <c r="Q163" s="241">
        <v>5.5762527955910697</v>
      </c>
      <c r="R163" s="241">
        <v>15.342769713551901</v>
      </c>
      <c r="S163" s="241">
        <v>25.278388178308902</v>
      </c>
      <c r="T163" s="241">
        <v>6.1482512187411</v>
      </c>
      <c r="U163" s="241">
        <v>9.7665169179608693</v>
      </c>
      <c r="V163" s="241">
        <v>84.657230286448097</v>
      </c>
      <c r="W163" s="241">
        <v>9.9356184647570096</v>
      </c>
      <c r="X163" s="241">
        <v>47.420250032200499</v>
      </c>
      <c r="Y163" s="241">
        <v>62.4357453153115</v>
      </c>
      <c r="Z163" s="241">
        <v>69.762340607399494</v>
      </c>
      <c r="AA163" s="241">
        <v>37.4846315674435</v>
      </c>
      <c r="AB163" s="241">
        <v>59.826722142642502</v>
      </c>
      <c r="AC163" s="241">
        <v>64.579714839953596</v>
      </c>
      <c r="AD163" s="241">
        <v>37.236980254247499</v>
      </c>
      <c r="AE163" s="241">
        <v>14.8948896790486</v>
      </c>
      <c r="AF163" s="241">
        <v>2.0404757657538402</v>
      </c>
      <c r="AG163" s="241">
        <v>5.1643908399172096</v>
      </c>
      <c r="AH163" s="241">
        <v>14.23566555225</v>
      </c>
      <c r="AI163" s="241">
        <v>23.5121770637327</v>
      </c>
      <c r="AJ163" s="241">
        <v>5.7303265183207399</v>
      </c>
      <c r="AK163" s="241">
        <v>9.0712747123328104</v>
      </c>
      <c r="AL163" s="241">
        <v>85.764334447750002</v>
      </c>
      <c r="AM163" s="241">
        <v>9.2765115114827097</v>
      </c>
      <c r="AN163" s="241">
        <v>43.271301949365998</v>
      </c>
      <c r="AO163" s="241">
        <v>57.674225902418499</v>
      </c>
      <c r="AP163" s="241">
        <v>64.775131437865994</v>
      </c>
      <c r="AQ163" s="241">
        <v>33.994790437883303</v>
      </c>
      <c r="AR163" s="241">
        <v>55.498619926383299</v>
      </c>
      <c r="AS163" s="241">
        <v>42.493032498383997</v>
      </c>
      <c r="AT163" s="249">
        <v>20.989203009884001</v>
      </c>
    </row>
    <row r="164" spans="1:46" x14ac:dyDescent="0.4">
      <c r="A164" s="247" t="s">
        <v>738</v>
      </c>
      <c r="B164" s="248">
        <v>90</v>
      </c>
      <c r="C164" s="249" t="s">
        <v>739</v>
      </c>
      <c r="D164" s="249" t="s">
        <v>740</v>
      </c>
      <c r="E164" s="249" t="s">
        <v>741</v>
      </c>
      <c r="F164" s="247">
        <v>1</v>
      </c>
      <c r="G164" s="250" t="e">
        <f t="shared" si="6"/>
        <v>#N/A</v>
      </c>
      <c r="H164" s="250" t="e">
        <f t="shared" si="7"/>
        <v>#N/A</v>
      </c>
      <c r="I164" s="247">
        <v>2.0710000000000002</v>
      </c>
      <c r="J164" s="247">
        <v>30.577999999999999</v>
      </c>
      <c r="K164" s="247">
        <v>114</v>
      </c>
      <c r="L164" s="247">
        <v>12.2</v>
      </c>
      <c r="M164" s="247">
        <v>28.1</v>
      </c>
      <c r="N164" s="250">
        <v>296.32299999999998</v>
      </c>
      <c r="O164" s="250">
        <v>287.26799999999997</v>
      </c>
      <c r="P164" s="249">
        <v>5.6964866041448001</v>
      </c>
      <c r="Q164" s="249">
        <v>14.2209683352288</v>
      </c>
      <c r="R164" s="249">
        <v>40.101173381749</v>
      </c>
      <c r="S164" s="249">
        <v>60.186350705142701</v>
      </c>
      <c r="T164" s="249">
        <v>16.1546690604509</v>
      </c>
      <c r="U164" s="249">
        <v>25.880205046520199</v>
      </c>
      <c r="V164" s="249">
        <v>59.898826618251</v>
      </c>
      <c r="W164" s="249">
        <v>20.085177323393701</v>
      </c>
      <c r="X164" s="249">
        <v>49.193278955734101</v>
      </c>
      <c r="Y164" s="249">
        <v>54.790549501726197</v>
      </c>
      <c r="Z164" s="249">
        <v>56.570026626350298</v>
      </c>
      <c r="AA164" s="249">
        <v>29.1081016323404</v>
      </c>
      <c r="AB164" s="249">
        <v>36.484849302956597</v>
      </c>
      <c r="AC164" s="249">
        <v>37.827978253459897</v>
      </c>
      <c r="AD164" s="249">
        <v>10.705547662516899</v>
      </c>
      <c r="AE164" s="249">
        <v>3.3287999919007301</v>
      </c>
      <c r="AF164" s="249">
        <v>5.5387303841708801</v>
      </c>
      <c r="AG164" s="249">
        <v>13.783644540986099</v>
      </c>
      <c r="AH164" s="249">
        <v>38.857791330743403</v>
      </c>
      <c r="AI164" s="249">
        <v>58.207318601445301</v>
      </c>
      <c r="AJ164" s="249">
        <v>15.6369661779244</v>
      </c>
      <c r="AK164" s="249">
        <v>25.0741467897573</v>
      </c>
      <c r="AL164" s="249">
        <v>61.142208669256597</v>
      </c>
      <c r="AM164" s="249">
        <v>19.349527270701898</v>
      </c>
      <c r="AN164" s="249">
        <v>50.299720121976698</v>
      </c>
      <c r="AO164" s="249">
        <v>55.901109765097402</v>
      </c>
      <c r="AP164" s="249">
        <v>57.678892184301802</v>
      </c>
      <c r="AQ164" s="249">
        <v>30.950192851274799</v>
      </c>
      <c r="AR164" s="249">
        <v>38.329364913599797</v>
      </c>
      <c r="AS164" s="249">
        <v>10.842488547279901</v>
      </c>
      <c r="AT164" s="241">
        <v>3.4633164849548201</v>
      </c>
    </row>
    <row r="165" spans="1:46" x14ac:dyDescent="0.4">
      <c r="A165" s="251" t="s">
        <v>742</v>
      </c>
      <c r="B165" s="252">
        <v>706</v>
      </c>
      <c r="C165" s="253" t="s">
        <v>743</v>
      </c>
      <c r="D165" s="253" t="s">
        <v>744</v>
      </c>
      <c r="E165" s="253" t="s">
        <v>745</v>
      </c>
      <c r="F165" s="251">
        <v>1</v>
      </c>
      <c r="G165" s="254" t="e">
        <f t="shared" si="6"/>
        <v>#N/A</v>
      </c>
      <c r="H165" s="254" t="e">
        <f t="shared" si="7"/>
        <v>#N/A</v>
      </c>
      <c r="I165" s="251">
        <v>2.37</v>
      </c>
      <c r="J165" s="251">
        <v>43.890999999999998</v>
      </c>
      <c r="K165" s="251">
        <v>732</v>
      </c>
      <c r="L165" s="251">
        <v>39.700000000000003</v>
      </c>
      <c r="M165" s="251">
        <v>136.80000000000001</v>
      </c>
      <c r="N165" s="254">
        <v>5367.9369999999999</v>
      </c>
      <c r="O165" s="254">
        <v>5419.1670000000004</v>
      </c>
      <c r="P165" s="241">
        <v>7.7489173214961298</v>
      </c>
      <c r="Q165" s="241">
        <v>18.5126613818307</v>
      </c>
      <c r="R165" s="241">
        <v>47.2238776274759</v>
      </c>
      <c r="S165" s="241">
        <v>67.251012819263707</v>
      </c>
      <c r="T165" s="241">
        <v>18.444422876050901</v>
      </c>
      <c r="U165" s="241">
        <v>28.7112162456452</v>
      </c>
      <c r="V165" s="241">
        <v>52.7761223725241</v>
      </c>
      <c r="W165" s="241">
        <v>20.027135191787799</v>
      </c>
      <c r="X165" s="241">
        <v>44.159441513564701</v>
      </c>
      <c r="Y165" s="241">
        <v>48.646696114354498</v>
      </c>
      <c r="Z165" s="241">
        <v>50.196565272655</v>
      </c>
      <c r="AA165" s="241">
        <v>24.132306321776898</v>
      </c>
      <c r="AB165" s="241">
        <v>30.169430080867201</v>
      </c>
      <c r="AC165" s="241">
        <v>31.304111803100501</v>
      </c>
      <c r="AD165" s="241">
        <v>8.6166808589594108</v>
      </c>
      <c r="AE165" s="241">
        <v>2.5795570998690902</v>
      </c>
      <c r="AF165" s="241">
        <v>7.5375237559573298</v>
      </c>
      <c r="AG165" s="241">
        <v>18.033675655317499</v>
      </c>
      <c r="AH165" s="241">
        <v>46.1911581613927</v>
      </c>
      <c r="AI165" s="241">
        <v>65.993980255637098</v>
      </c>
      <c r="AJ165" s="241">
        <v>18.062480820391801</v>
      </c>
      <c r="AK165" s="241">
        <v>28.157482506075201</v>
      </c>
      <c r="AL165" s="241">
        <v>53.8088418386073</v>
      </c>
      <c r="AM165" s="241">
        <v>19.802822094244402</v>
      </c>
      <c r="AN165" s="241">
        <v>44.211056791569597</v>
      </c>
      <c r="AO165" s="241">
        <v>49.013307764828099</v>
      </c>
      <c r="AP165" s="241">
        <v>50.742632585414</v>
      </c>
      <c r="AQ165" s="241">
        <v>24.408234697325302</v>
      </c>
      <c r="AR165" s="241">
        <v>30.939810491169599</v>
      </c>
      <c r="AS165" s="241">
        <v>9.5977850470376698</v>
      </c>
      <c r="AT165" s="249">
        <v>3.0662092531933398</v>
      </c>
    </row>
    <row r="166" spans="1:46" x14ac:dyDescent="0.4">
      <c r="A166" s="247" t="s">
        <v>746</v>
      </c>
      <c r="B166" s="248">
        <v>710</v>
      </c>
      <c r="C166" s="249" t="s">
        <v>747</v>
      </c>
      <c r="D166" s="249" t="s">
        <v>748</v>
      </c>
      <c r="E166" s="249" t="s">
        <v>749</v>
      </c>
      <c r="F166" s="247">
        <v>17.867258506224058</v>
      </c>
      <c r="G166" s="250" t="e">
        <f t="shared" ref="G166:G201" si="8">VLOOKUP($B166,pop_lookup,MATCH(baseline_year,year_lookup,0),FALSE)</f>
        <v>#N/A</v>
      </c>
      <c r="H166" s="250" t="e">
        <f t="shared" si="7"/>
        <v>#N/A</v>
      </c>
      <c r="I166" s="247">
        <v>1.0820000000000001</v>
      </c>
      <c r="J166" s="247">
        <v>20.85</v>
      </c>
      <c r="K166" s="247">
        <v>138</v>
      </c>
      <c r="L166" s="247">
        <v>11</v>
      </c>
      <c r="M166" s="247">
        <v>40.5</v>
      </c>
      <c r="N166" s="250">
        <v>26797.256000000001</v>
      </c>
      <c r="O166" s="250">
        <v>27693.15</v>
      </c>
      <c r="P166" s="249">
        <v>3.77024796867261</v>
      </c>
      <c r="Q166" s="249">
        <v>10.109266411456501</v>
      </c>
      <c r="R166" s="249">
        <v>30.027227414627799</v>
      </c>
      <c r="S166" s="249">
        <v>50.8127921754377</v>
      </c>
      <c r="T166" s="249">
        <v>12.3980231408768</v>
      </c>
      <c r="U166" s="249">
        <v>19.917961003171399</v>
      </c>
      <c r="V166" s="249">
        <v>69.972772585372198</v>
      </c>
      <c r="W166" s="249">
        <v>20.785564760809802</v>
      </c>
      <c r="X166" s="249">
        <v>56.971575746412299</v>
      </c>
      <c r="Y166" s="249">
        <v>64.496193192317904</v>
      </c>
      <c r="Z166" s="249">
        <v>66.6120329633751</v>
      </c>
      <c r="AA166" s="249">
        <v>36.186010985602401</v>
      </c>
      <c r="AB166" s="249">
        <v>45.826468202565202</v>
      </c>
      <c r="AC166" s="249">
        <v>47.046246078329801</v>
      </c>
      <c r="AD166" s="249">
        <v>13.001196838959901</v>
      </c>
      <c r="AE166" s="249">
        <v>3.3607396219971202</v>
      </c>
      <c r="AF166" s="249">
        <v>3.7136945417910199</v>
      </c>
      <c r="AG166" s="249">
        <v>9.6092896618838903</v>
      </c>
      <c r="AH166" s="249">
        <v>28.476724388522101</v>
      </c>
      <c r="AI166" s="249">
        <v>46.430828562297897</v>
      </c>
      <c r="AJ166" s="249">
        <v>11.6619958365155</v>
      </c>
      <c r="AK166" s="249">
        <v>18.867434726638201</v>
      </c>
      <c r="AL166" s="249">
        <v>71.523275611477899</v>
      </c>
      <c r="AM166" s="249">
        <v>17.9541041737758</v>
      </c>
      <c r="AN166" s="249">
        <v>53.000261797592501</v>
      </c>
      <c r="AO166" s="249">
        <v>61.624766413354898</v>
      </c>
      <c r="AP166" s="249">
        <v>64.871403217041006</v>
      </c>
      <c r="AQ166" s="249">
        <v>35.046157623816697</v>
      </c>
      <c r="AR166" s="249">
        <v>46.917299043265203</v>
      </c>
      <c r="AS166" s="249">
        <v>18.523013813885399</v>
      </c>
      <c r="AT166" s="241">
        <v>6.6518723944368903</v>
      </c>
    </row>
    <row r="167" spans="1:46" x14ac:dyDescent="0.4">
      <c r="A167" s="251" t="s">
        <v>750</v>
      </c>
      <c r="B167" s="252">
        <v>728</v>
      </c>
      <c r="C167" s="253" t="s">
        <v>751</v>
      </c>
      <c r="D167" s="253" t="s">
        <v>752</v>
      </c>
      <c r="E167" s="253" t="s">
        <v>753</v>
      </c>
      <c r="F167" s="251">
        <v>1</v>
      </c>
      <c r="G167" s="254" t="e">
        <f t="shared" si="8"/>
        <v>#N/A</v>
      </c>
      <c r="H167" s="254" t="e">
        <f t="shared" si="7"/>
        <v>#N/A</v>
      </c>
      <c r="I167" s="251">
        <v>4.0919999999999996</v>
      </c>
      <c r="J167" s="251">
        <v>37.125999999999998</v>
      </c>
      <c r="K167" s="251">
        <v>789</v>
      </c>
      <c r="L167" s="251">
        <v>39.299999999999997</v>
      </c>
      <c r="M167" s="251">
        <v>92.6</v>
      </c>
      <c r="N167" s="254">
        <v>6179.232</v>
      </c>
      <c r="O167" s="254">
        <v>6160.58</v>
      </c>
      <c r="P167" s="241">
        <v>6.68309589282293</v>
      </c>
      <c r="Q167" s="241">
        <v>16.0586461230133</v>
      </c>
      <c r="R167" s="241">
        <v>42.561794087032197</v>
      </c>
      <c r="S167" s="241">
        <v>63.039257953091898</v>
      </c>
      <c r="T167" s="241">
        <v>16.6861189222221</v>
      </c>
      <c r="U167" s="241">
        <v>26.503147964018801</v>
      </c>
      <c r="V167" s="241">
        <v>57.438205912967803</v>
      </c>
      <c r="W167" s="241">
        <v>20.477463866059701</v>
      </c>
      <c r="X167" s="241">
        <v>47.674646299087001</v>
      </c>
      <c r="Y167" s="241">
        <v>52.6469308807308</v>
      </c>
      <c r="Z167" s="241">
        <v>54.232046959881103</v>
      </c>
      <c r="AA167" s="241">
        <v>27.197182433027301</v>
      </c>
      <c r="AB167" s="241">
        <v>33.754583093821402</v>
      </c>
      <c r="AC167" s="241">
        <v>35.1038931698955</v>
      </c>
      <c r="AD167" s="241">
        <v>9.7635596138808207</v>
      </c>
      <c r="AE167" s="241">
        <v>3.2061589530867298</v>
      </c>
      <c r="AF167" s="241">
        <v>6.4990796321125597</v>
      </c>
      <c r="AG167" s="241">
        <v>15.640085836073901</v>
      </c>
      <c r="AH167" s="241">
        <v>41.608647237760103</v>
      </c>
      <c r="AI167" s="241">
        <v>61.863363514474301</v>
      </c>
      <c r="AJ167" s="241">
        <v>16.328089238350898</v>
      </c>
      <c r="AK167" s="241">
        <v>25.968561401686198</v>
      </c>
      <c r="AL167" s="241">
        <v>58.391352762239897</v>
      </c>
      <c r="AM167" s="241">
        <v>20.254716276714198</v>
      </c>
      <c r="AN167" s="241">
        <v>47.637381545244097</v>
      </c>
      <c r="AO167" s="241">
        <v>52.908865723681899</v>
      </c>
      <c r="AP167" s="241">
        <v>54.667807251914603</v>
      </c>
      <c r="AQ167" s="241">
        <v>27.382665268529902</v>
      </c>
      <c r="AR167" s="241">
        <v>34.413090975200397</v>
      </c>
      <c r="AS167" s="241">
        <v>10.753971216995801</v>
      </c>
      <c r="AT167" s="249">
        <v>3.7235455103253301</v>
      </c>
    </row>
    <row r="168" spans="1:46" x14ac:dyDescent="0.4">
      <c r="A168" s="247" t="s">
        <v>754</v>
      </c>
      <c r="B168" s="248">
        <v>724</v>
      </c>
      <c r="C168" s="249" t="s">
        <v>755</v>
      </c>
      <c r="D168" s="249" t="s">
        <v>196</v>
      </c>
      <c r="E168" s="249" t="s">
        <v>197</v>
      </c>
      <c r="F168" s="247">
        <v>1.2617355060728741</v>
      </c>
      <c r="G168" s="250" t="e">
        <f t="shared" si="8"/>
        <v>#N/A</v>
      </c>
      <c r="H168" s="250" t="e">
        <f t="shared" si="7"/>
        <v>#N/A</v>
      </c>
      <c r="I168" s="247">
        <v>-0.20699999999999999</v>
      </c>
      <c r="J168" s="247">
        <v>9.1</v>
      </c>
      <c r="K168" s="247">
        <v>5</v>
      </c>
      <c r="L168" s="247">
        <v>2.8</v>
      </c>
      <c r="M168" s="247">
        <v>4.0999999999999996</v>
      </c>
      <c r="N168" s="250">
        <v>22623.600999999999</v>
      </c>
      <c r="O168" s="250">
        <v>23498.098000000002</v>
      </c>
      <c r="P168" s="249">
        <v>1.7711017799509501</v>
      </c>
      <c r="Q168" s="249">
        <v>4.8860921831144397</v>
      </c>
      <c r="R168" s="249">
        <v>15.624877754871999</v>
      </c>
      <c r="S168" s="249">
        <v>25.3777990515303</v>
      </c>
      <c r="T168" s="249">
        <v>6.6307790700516698</v>
      </c>
      <c r="U168" s="249">
        <v>10.7387855717576</v>
      </c>
      <c r="V168" s="249">
        <v>84.375122245127997</v>
      </c>
      <c r="W168" s="249">
        <v>9.7529212966583003</v>
      </c>
      <c r="X168" s="249">
        <v>47.847877974863501</v>
      </c>
      <c r="Y168" s="249">
        <v>62.428934279737298</v>
      </c>
      <c r="Z168" s="249">
        <v>67.952789655369202</v>
      </c>
      <c r="AA168" s="249">
        <v>38.0949566782052</v>
      </c>
      <c r="AB168" s="249">
        <v>58.199868358710901</v>
      </c>
      <c r="AC168" s="249">
        <v>63.123368379772998</v>
      </c>
      <c r="AD168" s="249">
        <v>36.527244270264497</v>
      </c>
      <c r="AE168" s="249">
        <v>16.422332589758799</v>
      </c>
      <c r="AF168" s="249">
        <v>1.59998907145591</v>
      </c>
      <c r="AG168" s="249">
        <v>4.4210429286659698</v>
      </c>
      <c r="AH168" s="249">
        <v>14.166138042321601</v>
      </c>
      <c r="AI168" s="249">
        <v>23.181591122821899</v>
      </c>
      <c r="AJ168" s="249">
        <v>6.0136526794636698</v>
      </c>
      <c r="AK168" s="249">
        <v>9.7450951136555801</v>
      </c>
      <c r="AL168" s="249">
        <v>85.833861957678394</v>
      </c>
      <c r="AM168" s="249">
        <v>9.0154530805003894</v>
      </c>
      <c r="AN168" s="249">
        <v>44.853323873276899</v>
      </c>
      <c r="AO168" s="249">
        <v>59.104962452705699</v>
      </c>
      <c r="AP168" s="249">
        <v>64.765356753555096</v>
      </c>
      <c r="AQ168" s="249">
        <v>35.837870792776499</v>
      </c>
      <c r="AR168" s="249">
        <v>55.749903673054703</v>
      </c>
      <c r="AS168" s="249">
        <v>40.980538084401601</v>
      </c>
      <c r="AT168" s="241">
        <v>21.068505204123301</v>
      </c>
    </row>
    <row r="169" spans="1:46" x14ac:dyDescent="0.4">
      <c r="A169" s="251" t="s">
        <v>756</v>
      </c>
      <c r="B169" s="252">
        <v>144</v>
      </c>
      <c r="C169" s="253" t="s">
        <v>757</v>
      </c>
      <c r="D169" s="253" t="s">
        <v>758</v>
      </c>
      <c r="E169" s="253" t="s">
        <v>759</v>
      </c>
      <c r="F169" s="251">
        <v>190.108592920354</v>
      </c>
      <c r="G169" s="254" t="e">
        <f t="shared" si="8"/>
        <v>#N/A</v>
      </c>
      <c r="H169" s="254" t="e">
        <f t="shared" si="7"/>
        <v>#N/A</v>
      </c>
      <c r="I169" s="251">
        <v>0.502</v>
      </c>
      <c r="J169" s="251">
        <v>17.863</v>
      </c>
      <c r="K169" s="251">
        <v>30</v>
      </c>
      <c r="L169" s="251">
        <v>5.4</v>
      </c>
      <c r="M169" s="251">
        <v>9.8000000000000007</v>
      </c>
      <c r="N169" s="254">
        <v>9979.2639999999992</v>
      </c>
      <c r="O169" s="254">
        <v>10735.745999999999</v>
      </c>
      <c r="P169" s="241">
        <v>3.2197164039352</v>
      </c>
      <c r="Q169" s="241">
        <v>8.3575602369072506</v>
      </c>
      <c r="R169" s="241">
        <v>25.694580281672099</v>
      </c>
      <c r="S169" s="241">
        <v>41.178497732898897</v>
      </c>
      <c r="T169" s="241">
        <v>10.5576623686877</v>
      </c>
      <c r="U169" s="241">
        <v>17.337020044764799</v>
      </c>
      <c r="V169" s="241">
        <v>74.305419718327897</v>
      </c>
      <c r="W169" s="241">
        <v>15.483917451226899</v>
      </c>
      <c r="X169" s="241">
        <v>50.033599672280403</v>
      </c>
      <c r="Y169" s="241">
        <v>61.488953493965099</v>
      </c>
      <c r="Z169" s="241">
        <v>65.941075413978396</v>
      </c>
      <c r="AA169" s="241">
        <v>34.549682221053601</v>
      </c>
      <c r="AB169" s="241">
        <v>50.457157962751602</v>
      </c>
      <c r="AC169" s="241">
        <v>54.175017315906302</v>
      </c>
      <c r="AD169" s="241">
        <v>24.271820046047502</v>
      </c>
      <c r="AE169" s="241">
        <v>8.3643443043494994</v>
      </c>
      <c r="AF169" s="241">
        <v>2.8815510352051898</v>
      </c>
      <c r="AG169" s="241">
        <v>7.5354800681759802</v>
      </c>
      <c r="AH169" s="241">
        <v>23.5320582286503</v>
      </c>
      <c r="AI169" s="241">
        <v>38.197243116593903</v>
      </c>
      <c r="AJ169" s="241">
        <v>9.7099447024920291</v>
      </c>
      <c r="AK169" s="241">
        <v>15.9965781604744</v>
      </c>
      <c r="AL169" s="241">
        <v>76.4679417713497</v>
      </c>
      <c r="AM169" s="241">
        <v>14.6651848879435</v>
      </c>
      <c r="AN169" s="241">
        <v>49.670437433970598</v>
      </c>
      <c r="AO169" s="241">
        <v>61.488339981217898</v>
      </c>
      <c r="AP169" s="241">
        <v>66.291946549406106</v>
      </c>
      <c r="AQ169" s="241">
        <v>35.005252546027101</v>
      </c>
      <c r="AR169" s="241">
        <v>51.626761661462602</v>
      </c>
      <c r="AS169" s="241">
        <v>26.797504337379099</v>
      </c>
      <c r="AT169" s="249">
        <v>10.1759952219436</v>
      </c>
    </row>
    <row r="170" spans="1:46" x14ac:dyDescent="0.4">
      <c r="A170" s="247" t="s">
        <v>760</v>
      </c>
      <c r="B170" s="248">
        <v>275</v>
      </c>
      <c r="C170" s="249" t="s">
        <v>761</v>
      </c>
      <c r="D170" s="249" t="e">
        <v>#N/A</v>
      </c>
      <c r="E170" s="249" t="e">
        <v>#N/A</v>
      </c>
      <c r="F170" s="247">
        <v>1</v>
      </c>
      <c r="G170" s="250" t="e">
        <f t="shared" si="8"/>
        <v>#N/A</v>
      </c>
      <c r="H170" s="250" t="e">
        <f t="shared" si="7"/>
        <v>#N/A</v>
      </c>
      <c r="I170" s="247">
        <v>2.75</v>
      </c>
      <c r="J170" s="247">
        <v>30.393999999999998</v>
      </c>
      <c r="K170" s="247">
        <v>45</v>
      </c>
      <c r="L170" s="247">
        <v>11.8</v>
      </c>
      <c r="M170" s="247">
        <v>21.1</v>
      </c>
      <c r="N170" s="250">
        <v>2366.75</v>
      </c>
      <c r="O170" s="250">
        <v>2301.7159999999999</v>
      </c>
      <c r="P170" s="249">
        <v>6.30755255096651</v>
      </c>
      <c r="Q170" s="249">
        <v>15.1822963980142</v>
      </c>
      <c r="R170" s="249">
        <v>40.504531530579897</v>
      </c>
      <c r="S170" s="249">
        <v>62.352846730748901</v>
      </c>
      <c r="T170" s="249">
        <v>15.827991972113701</v>
      </c>
      <c r="U170" s="249">
        <v>25.322235132565801</v>
      </c>
      <c r="V170" s="249">
        <v>59.495468469420103</v>
      </c>
      <c r="W170" s="249">
        <v>21.848315200169001</v>
      </c>
      <c r="X170" s="249">
        <v>50.349213055878302</v>
      </c>
      <c r="Y170" s="249">
        <v>55.252012253089703</v>
      </c>
      <c r="Z170" s="249">
        <v>56.717312770677097</v>
      </c>
      <c r="AA170" s="249">
        <v>28.500897855709301</v>
      </c>
      <c r="AB170" s="249">
        <v>34.8689975705081</v>
      </c>
      <c r="AC170" s="249">
        <v>36.118854969895402</v>
      </c>
      <c r="AD170" s="249">
        <v>9.1462554135417804</v>
      </c>
      <c r="AE170" s="249">
        <v>2.7781556987429998</v>
      </c>
      <c r="AF170" s="249">
        <v>6.2054137000394496</v>
      </c>
      <c r="AG170" s="249">
        <v>14.9503240191231</v>
      </c>
      <c r="AH170" s="249">
        <v>39.932815342987602</v>
      </c>
      <c r="AI170" s="249">
        <v>61.539477502871797</v>
      </c>
      <c r="AJ170" s="249">
        <v>15.6143937827256</v>
      </c>
      <c r="AK170" s="249">
        <v>24.982491323864501</v>
      </c>
      <c r="AL170" s="249">
        <v>60.067184657012398</v>
      </c>
      <c r="AM170" s="249">
        <v>21.606662159884198</v>
      </c>
      <c r="AN170" s="249">
        <v>50.169873259776601</v>
      </c>
      <c r="AO170" s="249">
        <v>55.284578983679999</v>
      </c>
      <c r="AP170" s="249">
        <v>56.920662670807403</v>
      </c>
      <c r="AQ170" s="249">
        <v>28.563211099892399</v>
      </c>
      <c r="AR170" s="249">
        <v>35.314000510923201</v>
      </c>
      <c r="AS170" s="249">
        <v>9.8973113972358</v>
      </c>
      <c r="AT170" s="241">
        <v>3.14652198620507</v>
      </c>
    </row>
    <row r="171" spans="1:46" x14ac:dyDescent="0.4">
      <c r="A171" s="251" t="s">
        <v>762</v>
      </c>
      <c r="B171" s="252">
        <v>729</v>
      </c>
      <c r="C171" s="253" t="s">
        <v>763</v>
      </c>
      <c r="D171" s="253" t="s">
        <v>764</v>
      </c>
      <c r="E171" s="253" t="s">
        <v>765</v>
      </c>
      <c r="F171" s="251">
        <v>1</v>
      </c>
      <c r="G171" s="254" t="e">
        <f t="shared" si="8"/>
        <v>#N/A</v>
      </c>
      <c r="H171" s="254" t="e">
        <f t="shared" si="7"/>
        <v>#N/A</v>
      </c>
      <c r="I171" s="251">
        <v>2.161</v>
      </c>
      <c r="J171" s="251">
        <v>33.476999999999997</v>
      </c>
      <c r="K171" s="251">
        <v>311</v>
      </c>
      <c r="L171" s="251">
        <v>29.8</v>
      </c>
      <c r="M171" s="251">
        <v>70.099999999999994</v>
      </c>
      <c r="N171" s="254">
        <v>20197.019</v>
      </c>
      <c r="O171" s="254">
        <v>20037.863000000001</v>
      </c>
      <c r="P171" s="241">
        <v>6.1967808219618998</v>
      </c>
      <c r="Q171" s="241">
        <v>14.9882267279147</v>
      </c>
      <c r="R171" s="241">
        <v>40.970070880262099</v>
      </c>
      <c r="S171" s="241">
        <v>61.032199850879003</v>
      </c>
      <c r="T171" s="241">
        <v>16.1774368781848</v>
      </c>
      <c r="U171" s="241">
        <v>25.981844152347399</v>
      </c>
      <c r="V171" s="241">
        <v>59.029929119737901</v>
      </c>
      <c r="W171" s="241">
        <v>20.0621289706169</v>
      </c>
      <c r="X171" s="241">
        <v>48.905702371226198</v>
      </c>
      <c r="Y171" s="241">
        <v>54.1502931695019</v>
      </c>
      <c r="Z171" s="241">
        <v>55.917509410671002</v>
      </c>
      <c r="AA171" s="241">
        <v>28.843573400609301</v>
      </c>
      <c r="AB171" s="241">
        <v>35.855380440054098</v>
      </c>
      <c r="AC171" s="241">
        <v>37.165717376410903</v>
      </c>
      <c r="AD171" s="241">
        <v>10.1242267485118</v>
      </c>
      <c r="AE171" s="241">
        <v>3.1124197090669701</v>
      </c>
      <c r="AF171" s="241">
        <v>6.0287816120910698</v>
      </c>
      <c r="AG171" s="241">
        <v>14.5973350551404</v>
      </c>
      <c r="AH171" s="241">
        <v>40.032747005007501</v>
      </c>
      <c r="AI171" s="241">
        <v>59.813678734104499</v>
      </c>
      <c r="AJ171" s="241">
        <v>15.817569967416199</v>
      </c>
      <c r="AK171" s="241">
        <v>25.435411949867099</v>
      </c>
      <c r="AL171" s="241">
        <v>59.967252994992599</v>
      </c>
      <c r="AM171" s="241">
        <v>19.780931729097102</v>
      </c>
      <c r="AN171" s="241">
        <v>48.933222070637001</v>
      </c>
      <c r="AO171" s="241">
        <v>54.501510465462303</v>
      </c>
      <c r="AP171" s="241">
        <v>56.4218699369289</v>
      </c>
      <c r="AQ171" s="241">
        <v>29.152290341539899</v>
      </c>
      <c r="AR171" s="241">
        <v>36.640938207831901</v>
      </c>
      <c r="AS171" s="241">
        <v>11.0340309243556</v>
      </c>
      <c r="AT171" s="249">
        <v>3.5453830580636301</v>
      </c>
    </row>
    <row r="172" spans="1:46" x14ac:dyDescent="0.4">
      <c r="A172" s="247" t="s">
        <v>766</v>
      </c>
      <c r="B172" s="248">
        <v>740</v>
      </c>
      <c r="C172" s="249" t="s">
        <v>767</v>
      </c>
      <c r="D172" s="249" t="s">
        <v>768</v>
      </c>
      <c r="E172" s="249" t="s">
        <v>769</v>
      </c>
      <c r="F172" s="247">
        <v>1</v>
      </c>
      <c r="G172" s="250" t="e">
        <f t="shared" si="8"/>
        <v>#N/A</v>
      </c>
      <c r="H172" s="250" t="e">
        <f t="shared" si="7"/>
        <v>#N/A</v>
      </c>
      <c r="I172" s="247">
        <v>0.93600000000000005</v>
      </c>
      <c r="J172" s="247">
        <v>18.454999999999998</v>
      </c>
      <c r="K172" s="247">
        <v>155</v>
      </c>
      <c r="L172" s="247">
        <v>11.5</v>
      </c>
      <c r="M172" s="247">
        <v>21.3</v>
      </c>
      <c r="N172" s="250">
        <v>272.03800000000001</v>
      </c>
      <c r="O172" s="250">
        <v>270.93700000000001</v>
      </c>
      <c r="P172" s="249">
        <v>3.6208176798829599</v>
      </c>
      <c r="Q172" s="249">
        <v>9.1630581021768993</v>
      </c>
      <c r="R172" s="249">
        <v>27.4307265896676</v>
      </c>
      <c r="S172" s="249">
        <v>44.344540101015298</v>
      </c>
      <c r="T172" s="249">
        <v>11.063895485189599</v>
      </c>
      <c r="U172" s="249">
        <v>18.267668487490699</v>
      </c>
      <c r="V172" s="249">
        <v>72.5692734103324</v>
      </c>
      <c r="W172" s="249">
        <v>16.913813511347701</v>
      </c>
      <c r="X172" s="249">
        <v>52.879744741543497</v>
      </c>
      <c r="Y172" s="249">
        <v>63.560605503642897</v>
      </c>
      <c r="Z172" s="249">
        <v>66.732221233798199</v>
      </c>
      <c r="AA172" s="249">
        <v>35.9659312301958</v>
      </c>
      <c r="AB172" s="249">
        <v>49.818407722450502</v>
      </c>
      <c r="AC172" s="249">
        <v>52.028025496437998</v>
      </c>
      <c r="AD172" s="249">
        <v>19.689528668788899</v>
      </c>
      <c r="AE172" s="249">
        <v>5.8370521765341596</v>
      </c>
      <c r="AF172" s="249">
        <v>3.4653812509919302</v>
      </c>
      <c r="AG172" s="249">
        <v>8.5842834312035592</v>
      </c>
      <c r="AH172" s="249">
        <v>26.130428845082101</v>
      </c>
      <c r="AI172" s="249">
        <v>42.509882371178499</v>
      </c>
      <c r="AJ172" s="249">
        <v>10.416812764591</v>
      </c>
      <c r="AK172" s="249">
        <v>17.546145413878499</v>
      </c>
      <c r="AL172" s="249">
        <v>73.869571154917907</v>
      </c>
      <c r="AM172" s="249">
        <v>16.379453526096501</v>
      </c>
      <c r="AN172" s="249">
        <v>51.547776789438103</v>
      </c>
      <c r="AO172" s="249">
        <v>62.388673381634803</v>
      </c>
      <c r="AP172" s="249">
        <v>65.930825247197703</v>
      </c>
      <c r="AQ172" s="249">
        <v>35.168323263341698</v>
      </c>
      <c r="AR172" s="249">
        <v>49.551371721101198</v>
      </c>
      <c r="AS172" s="249">
        <v>22.3217943654798</v>
      </c>
      <c r="AT172" s="241">
        <v>7.9387459077202402</v>
      </c>
    </row>
    <row r="173" spans="1:46" x14ac:dyDescent="0.4">
      <c r="A173" s="251" t="s">
        <v>770</v>
      </c>
      <c r="B173" s="252">
        <v>748</v>
      </c>
      <c r="C173" s="253" t="s">
        <v>771</v>
      </c>
      <c r="D173" s="253" t="s">
        <v>772</v>
      </c>
      <c r="E173" s="253" t="s">
        <v>773</v>
      </c>
      <c r="F173" s="251">
        <v>1</v>
      </c>
      <c r="G173" s="254" t="e">
        <f t="shared" si="8"/>
        <v>#N/A</v>
      </c>
      <c r="H173" s="254" t="e">
        <f t="shared" si="7"/>
        <v>#N/A</v>
      </c>
      <c r="I173" s="251">
        <v>1.514</v>
      </c>
      <c r="J173" s="251">
        <v>30.093</v>
      </c>
      <c r="K173" s="251">
        <v>389</v>
      </c>
      <c r="L173" s="251">
        <v>14.2</v>
      </c>
      <c r="M173" s="251">
        <v>60.7</v>
      </c>
      <c r="N173" s="254">
        <v>636.44200000000001</v>
      </c>
      <c r="O173" s="254">
        <v>650.52800000000002</v>
      </c>
      <c r="P173" s="241">
        <v>5.6003532136471197</v>
      </c>
      <c r="Q173" s="241">
        <v>13.727723814581701</v>
      </c>
      <c r="R173" s="241">
        <v>38.024831799284101</v>
      </c>
      <c r="S173" s="241">
        <v>61.492170535571198</v>
      </c>
      <c r="T173" s="241">
        <v>15.016922201866</v>
      </c>
      <c r="U173" s="241">
        <v>24.2971079847025</v>
      </c>
      <c r="V173" s="241">
        <v>61.9751682007158</v>
      </c>
      <c r="W173" s="241">
        <v>23.467338736287001</v>
      </c>
      <c r="X173" s="241">
        <v>52.9463800314876</v>
      </c>
      <c r="Y173" s="241">
        <v>57.209140817230796</v>
      </c>
      <c r="Z173" s="241">
        <v>58.898375657169098</v>
      </c>
      <c r="AA173" s="241">
        <v>29.479041295200499</v>
      </c>
      <c r="AB173" s="241">
        <v>35.431036920882001</v>
      </c>
      <c r="AC173" s="241">
        <v>36.761873037920203</v>
      </c>
      <c r="AD173" s="241">
        <v>9.0287881692282994</v>
      </c>
      <c r="AE173" s="241">
        <v>3.0767925435467798</v>
      </c>
      <c r="AF173" s="241">
        <v>5.3862401003492604</v>
      </c>
      <c r="AG173" s="241">
        <v>13.223566087854801</v>
      </c>
      <c r="AH173" s="241">
        <v>36.699573269713198</v>
      </c>
      <c r="AI173" s="241">
        <v>59.423575926017001</v>
      </c>
      <c r="AJ173" s="241">
        <v>14.5056016036204</v>
      </c>
      <c r="AK173" s="241">
        <v>23.4760071818584</v>
      </c>
      <c r="AL173" s="241">
        <v>63.300426730286802</v>
      </c>
      <c r="AM173" s="241">
        <v>22.724002656303799</v>
      </c>
      <c r="AN173" s="241">
        <v>51.410853952481702</v>
      </c>
      <c r="AO173" s="241">
        <v>56.9977003295784</v>
      </c>
      <c r="AP173" s="241">
        <v>59.222508485414899</v>
      </c>
      <c r="AQ173" s="241">
        <v>28.686851296177899</v>
      </c>
      <c r="AR173" s="241">
        <v>36.498505829111103</v>
      </c>
      <c r="AS173" s="241">
        <v>11.8895727778051</v>
      </c>
      <c r="AT173" s="249">
        <v>4.0779182448718601</v>
      </c>
    </row>
    <row r="174" spans="1:46" x14ac:dyDescent="0.4">
      <c r="A174" s="247" t="s">
        <v>774</v>
      </c>
      <c r="B174" s="248">
        <v>752</v>
      </c>
      <c r="C174" s="249" t="s">
        <v>775</v>
      </c>
      <c r="D174" s="249" t="s">
        <v>776</v>
      </c>
      <c r="E174" s="249" t="s">
        <v>777</v>
      </c>
      <c r="F174" s="247">
        <v>11.798070833333339</v>
      </c>
      <c r="G174" s="250" t="e">
        <f t="shared" si="8"/>
        <v>#N/A</v>
      </c>
      <c r="H174" s="250" t="e">
        <f t="shared" si="7"/>
        <v>#N/A</v>
      </c>
      <c r="I174" s="247">
        <v>0.82899999999999996</v>
      </c>
      <c r="J174" s="247">
        <v>11.8</v>
      </c>
      <c r="K174" s="247">
        <v>4</v>
      </c>
      <c r="L174" s="247">
        <v>1.6</v>
      </c>
      <c r="M174" s="247">
        <v>3</v>
      </c>
      <c r="N174" s="250">
        <v>4886.817</v>
      </c>
      <c r="O174" s="250">
        <v>4892.6090000000004</v>
      </c>
      <c r="P174" s="249">
        <v>2.4074566328143701</v>
      </c>
      <c r="Q174" s="249">
        <v>6.2017055273401898</v>
      </c>
      <c r="R174" s="249">
        <v>17.769705720512999</v>
      </c>
      <c r="S174" s="249">
        <v>30.435271056804499</v>
      </c>
      <c r="T174" s="249">
        <v>7.25660486161033</v>
      </c>
      <c r="U174" s="249">
        <v>11.5680001931728</v>
      </c>
      <c r="V174" s="249">
        <v>82.230294279486998</v>
      </c>
      <c r="W174" s="249">
        <v>12.6655653362915</v>
      </c>
      <c r="X174" s="249">
        <v>46.018256873543699</v>
      </c>
      <c r="Y174" s="249">
        <v>58.280144314796303</v>
      </c>
      <c r="Z174" s="249">
        <v>63.862653338563703</v>
      </c>
      <c r="AA174" s="249">
        <v>33.352691537252198</v>
      </c>
      <c r="AB174" s="249">
        <v>51.197088002272203</v>
      </c>
      <c r="AC174" s="249">
        <v>57.663362470909</v>
      </c>
      <c r="AD174" s="249">
        <v>36.212037405943398</v>
      </c>
      <c r="AE174" s="249">
        <v>18.367640940923302</v>
      </c>
      <c r="AF174" s="249">
        <v>2.28710285248627</v>
      </c>
      <c r="AG174" s="249">
        <v>5.8658887313496697</v>
      </c>
      <c r="AH174" s="249">
        <v>16.800627231810299</v>
      </c>
      <c r="AI174" s="249">
        <v>28.737326036067898</v>
      </c>
      <c r="AJ174" s="249">
        <v>6.8515387189125496</v>
      </c>
      <c r="AK174" s="249">
        <v>10.9347385004606</v>
      </c>
      <c r="AL174" s="249">
        <v>83.199372768189704</v>
      </c>
      <c r="AM174" s="249">
        <v>11.936698804257601</v>
      </c>
      <c r="AN174" s="249">
        <v>44.074705336150899</v>
      </c>
      <c r="AO174" s="249">
        <v>56.075030724915898</v>
      </c>
      <c r="AP174" s="249">
        <v>61.684839315792402</v>
      </c>
      <c r="AQ174" s="249">
        <v>32.138006531893303</v>
      </c>
      <c r="AR174" s="249">
        <v>49.7481405115348</v>
      </c>
      <c r="AS174" s="249">
        <v>39.124667432038798</v>
      </c>
      <c r="AT174" s="241">
        <v>21.514533452397298</v>
      </c>
    </row>
    <row r="175" spans="1:46" x14ac:dyDescent="0.4">
      <c r="A175" s="251" t="s">
        <v>778</v>
      </c>
      <c r="B175" s="252">
        <v>756</v>
      </c>
      <c r="C175" s="253" t="s">
        <v>779</v>
      </c>
      <c r="D175" s="253" t="s">
        <v>780</v>
      </c>
      <c r="E175" s="253" t="s">
        <v>778</v>
      </c>
      <c r="F175" s="251">
        <v>1</v>
      </c>
      <c r="G175" s="254" t="e">
        <f t="shared" si="8"/>
        <v>#N/A</v>
      </c>
      <c r="H175" s="254" t="e">
        <f t="shared" si="7"/>
        <v>#N/A</v>
      </c>
      <c r="I175" s="251">
        <v>1.161</v>
      </c>
      <c r="J175" s="251">
        <v>10.199999999999999</v>
      </c>
      <c r="K175" s="251">
        <v>5</v>
      </c>
      <c r="L175" s="251">
        <v>2.7</v>
      </c>
      <c r="M175" s="251">
        <v>3.9</v>
      </c>
      <c r="N175" s="254">
        <v>4109.3649999999998</v>
      </c>
      <c r="O175" s="254">
        <v>4189.2979999999998</v>
      </c>
      <c r="P175" s="241">
        <v>2.1357314329586199</v>
      </c>
      <c r="Q175" s="241">
        <v>5.2928372145088103</v>
      </c>
      <c r="R175" s="241">
        <v>15.3180844242359</v>
      </c>
      <c r="S175" s="241">
        <v>27.0546665969073</v>
      </c>
      <c r="T175" s="241">
        <v>6.0492801199211996</v>
      </c>
      <c r="U175" s="241">
        <v>10.025247209727</v>
      </c>
      <c r="V175" s="241">
        <v>84.681915575764094</v>
      </c>
      <c r="W175" s="241">
        <v>11.736582172671399</v>
      </c>
      <c r="X175" s="241">
        <v>48.290477969224</v>
      </c>
      <c r="Y175" s="241">
        <v>63.064244719074601</v>
      </c>
      <c r="Z175" s="241">
        <v>68.563366846215899</v>
      </c>
      <c r="AA175" s="241">
        <v>36.553895796552503</v>
      </c>
      <c r="AB175" s="241">
        <v>56.826784673544402</v>
      </c>
      <c r="AC175" s="241">
        <v>62.096187610494603</v>
      </c>
      <c r="AD175" s="241">
        <v>36.391437606540201</v>
      </c>
      <c r="AE175" s="241">
        <v>16.118548729548198</v>
      </c>
      <c r="AF175" s="241">
        <v>1.97708542099416</v>
      </c>
      <c r="AG175" s="241">
        <v>4.9094860284467696</v>
      </c>
      <c r="AH175" s="241">
        <v>14.2429829532299</v>
      </c>
      <c r="AI175" s="241">
        <v>25.276645395004099</v>
      </c>
      <c r="AJ175" s="241">
        <v>5.6313492141165398</v>
      </c>
      <c r="AK175" s="241">
        <v>9.3334969247831001</v>
      </c>
      <c r="AL175" s="241">
        <v>85.757017046770102</v>
      </c>
      <c r="AM175" s="241">
        <v>11.0336624417743</v>
      </c>
      <c r="AN175" s="241">
        <v>46.147469098641302</v>
      </c>
      <c r="AO175" s="241">
        <v>60.288764370546097</v>
      </c>
      <c r="AP175" s="241">
        <v>65.828570801122297</v>
      </c>
      <c r="AQ175" s="241">
        <v>35.113806656867098</v>
      </c>
      <c r="AR175" s="241">
        <v>54.794908359348</v>
      </c>
      <c r="AS175" s="241">
        <v>39.6095479481288</v>
      </c>
      <c r="AT175" s="249">
        <v>19.928446245647802</v>
      </c>
    </row>
    <row r="176" spans="1:46" x14ac:dyDescent="0.4">
      <c r="A176" s="247" t="s">
        <v>781</v>
      </c>
      <c r="B176" s="248">
        <v>760</v>
      </c>
      <c r="C176" s="249" t="s">
        <v>782</v>
      </c>
      <c r="D176" s="249" t="s">
        <v>783</v>
      </c>
      <c r="E176" s="249" t="s">
        <v>784</v>
      </c>
      <c r="F176" s="247">
        <v>1</v>
      </c>
      <c r="G176" s="250" t="e">
        <f t="shared" si="8"/>
        <v>#N/A</v>
      </c>
      <c r="H176" s="250" t="e">
        <f t="shared" si="7"/>
        <v>#N/A</v>
      </c>
      <c r="I176" s="247">
        <v>-2.2650000000000001</v>
      </c>
      <c r="J176" s="247">
        <v>24.042999999999999</v>
      </c>
      <c r="K176" s="247">
        <v>68</v>
      </c>
      <c r="L176" s="247">
        <v>7</v>
      </c>
      <c r="M176" s="247">
        <v>12.9</v>
      </c>
      <c r="N176" s="250">
        <v>9366.509</v>
      </c>
      <c r="O176" s="250">
        <v>9135.9040000000005</v>
      </c>
      <c r="P176" s="249">
        <v>4.6510177911535697</v>
      </c>
      <c r="Q176" s="249">
        <v>11.9961343121541</v>
      </c>
      <c r="R176" s="249">
        <v>37.572600421352298</v>
      </c>
      <c r="S176" s="249">
        <v>58.191007983871003</v>
      </c>
      <c r="T176" s="249">
        <v>15.387792826548299</v>
      </c>
      <c r="U176" s="249">
        <v>25.576466109198201</v>
      </c>
      <c r="V176" s="249">
        <v>62.427399578647702</v>
      </c>
      <c r="W176" s="249">
        <v>20.618407562518801</v>
      </c>
      <c r="X176" s="249">
        <v>49.865419442825498</v>
      </c>
      <c r="Y176" s="249">
        <v>56.415362436527801</v>
      </c>
      <c r="Z176" s="249">
        <v>58.702842222219601</v>
      </c>
      <c r="AA176" s="249">
        <v>29.247011880306701</v>
      </c>
      <c r="AB176" s="249">
        <v>38.084434659700797</v>
      </c>
      <c r="AC176" s="249">
        <v>39.5610573800762</v>
      </c>
      <c r="AD176" s="249">
        <v>12.5619801358222</v>
      </c>
      <c r="AE176" s="249">
        <v>3.7245573564280998</v>
      </c>
      <c r="AF176" s="249">
        <v>4.5355993232853598</v>
      </c>
      <c r="AG176" s="249">
        <v>11.689976164373</v>
      </c>
      <c r="AH176" s="249">
        <v>36.661473237897397</v>
      </c>
      <c r="AI176" s="249">
        <v>55.996571329996499</v>
      </c>
      <c r="AJ176" s="249">
        <v>15.036782347975601</v>
      </c>
      <c r="AK176" s="249">
        <v>24.9714970735244</v>
      </c>
      <c r="AL176" s="249">
        <v>63.338526762102603</v>
      </c>
      <c r="AM176" s="249">
        <v>19.335098092098999</v>
      </c>
      <c r="AN176" s="249">
        <v>49.441204723692401</v>
      </c>
      <c r="AO176" s="249">
        <v>56.461604675355602</v>
      </c>
      <c r="AP176" s="249">
        <v>58.925914720645103</v>
      </c>
      <c r="AQ176" s="249">
        <v>30.106106631593299</v>
      </c>
      <c r="AR176" s="249">
        <v>39.590816628546001</v>
      </c>
      <c r="AS176" s="249">
        <v>13.8973220384102</v>
      </c>
      <c r="AT176" s="241">
        <v>4.4126120414575301</v>
      </c>
    </row>
    <row r="177" spans="1:46" x14ac:dyDescent="0.4">
      <c r="A177" s="251" t="s">
        <v>785</v>
      </c>
      <c r="B177" s="252">
        <v>762</v>
      </c>
      <c r="C177" s="253" t="s">
        <v>786</v>
      </c>
      <c r="D177" s="253" t="s">
        <v>787</v>
      </c>
      <c r="E177" s="253" t="s">
        <v>788</v>
      </c>
      <c r="F177" s="251">
        <v>1</v>
      </c>
      <c r="G177" s="254" t="e">
        <f t="shared" si="8"/>
        <v>#N/A</v>
      </c>
      <c r="H177" s="254" t="e">
        <f t="shared" si="7"/>
        <v>#N/A</v>
      </c>
      <c r="I177" s="251">
        <v>2.2440000000000002</v>
      </c>
      <c r="J177" s="251">
        <v>30.792000000000002</v>
      </c>
      <c r="K177" s="251">
        <v>32</v>
      </c>
      <c r="L177" s="251">
        <v>20.5</v>
      </c>
      <c r="M177" s="251">
        <v>44.8</v>
      </c>
      <c r="N177" s="254">
        <v>4295.8410000000003</v>
      </c>
      <c r="O177" s="254">
        <v>4186.0140000000001</v>
      </c>
      <c r="P177" s="241">
        <v>6.0117215697694597</v>
      </c>
      <c r="Q177" s="241">
        <v>14.0920020084542</v>
      </c>
      <c r="R177" s="241">
        <v>35.555296390159697</v>
      </c>
      <c r="S177" s="241">
        <v>55.8663134878595</v>
      </c>
      <c r="T177" s="241">
        <v>13.506901209798</v>
      </c>
      <c r="U177" s="241">
        <v>21.463294381705499</v>
      </c>
      <c r="V177" s="241">
        <v>64.444703609840303</v>
      </c>
      <c r="W177" s="241">
        <v>20.3110170976998</v>
      </c>
      <c r="X177" s="241">
        <v>52.351309091747098</v>
      </c>
      <c r="Y177" s="241">
        <v>59.605558026938098</v>
      </c>
      <c r="Z177" s="241">
        <v>61.514893125699899</v>
      </c>
      <c r="AA177" s="241">
        <v>32.040291994047301</v>
      </c>
      <c r="AB177" s="241">
        <v>41.203876028000103</v>
      </c>
      <c r="AC177" s="241">
        <v>42.129189604550099</v>
      </c>
      <c r="AD177" s="241">
        <v>12.0933945180932</v>
      </c>
      <c r="AE177" s="241">
        <v>2.92981048414036</v>
      </c>
      <c r="AF177" s="241">
        <v>5.9363633279774</v>
      </c>
      <c r="AG177" s="241">
        <v>13.6224341342384</v>
      </c>
      <c r="AH177" s="241">
        <v>34.100960961907901</v>
      </c>
      <c r="AI177" s="241">
        <v>54.235341783376697</v>
      </c>
      <c r="AJ177" s="241">
        <v>12.7123798439279</v>
      </c>
      <c r="AK177" s="241">
        <v>20.478526827669501</v>
      </c>
      <c r="AL177" s="241">
        <v>65.899039038092099</v>
      </c>
      <c r="AM177" s="241">
        <v>20.134380821468799</v>
      </c>
      <c r="AN177" s="241">
        <v>53.0418914031344</v>
      </c>
      <c r="AO177" s="241">
        <v>60.704264247563401</v>
      </c>
      <c r="AP177" s="241">
        <v>62.814266746360602</v>
      </c>
      <c r="AQ177" s="241">
        <v>32.907510581665498</v>
      </c>
      <c r="AR177" s="241">
        <v>42.679885924891799</v>
      </c>
      <c r="AS177" s="241">
        <v>12.8571476349577</v>
      </c>
      <c r="AT177" s="249">
        <v>3.0847722917314702</v>
      </c>
    </row>
    <row r="178" spans="1:46" x14ac:dyDescent="0.4">
      <c r="A178" s="247" t="s">
        <v>789</v>
      </c>
      <c r="B178" s="248">
        <v>764</v>
      </c>
      <c r="C178" s="249" t="s">
        <v>790</v>
      </c>
      <c r="D178" s="249" t="s">
        <v>791</v>
      </c>
      <c r="E178" s="249" t="s">
        <v>792</v>
      </c>
      <c r="F178" s="247">
        <v>47.975779220779216</v>
      </c>
      <c r="G178" s="250" t="e">
        <f t="shared" si="8"/>
        <v>#N/A</v>
      </c>
      <c r="H178" s="250" t="e">
        <f t="shared" si="7"/>
        <v>#N/A</v>
      </c>
      <c r="I178" s="247">
        <v>0.376</v>
      </c>
      <c r="J178" s="247">
        <v>11.041</v>
      </c>
      <c r="K178" s="247">
        <v>20</v>
      </c>
      <c r="L178" s="247">
        <v>6.7</v>
      </c>
      <c r="M178" s="247">
        <v>12.3</v>
      </c>
      <c r="N178" s="250">
        <v>33494.788999999997</v>
      </c>
      <c r="O178" s="250">
        <v>34464.57</v>
      </c>
      <c r="P178" s="249">
        <v>2.2692723933863301</v>
      </c>
      <c r="Q178" s="249">
        <v>5.8248642796346601</v>
      </c>
      <c r="R178" s="249">
        <v>18.405110717371599</v>
      </c>
      <c r="S178" s="249">
        <v>31.874570101038699</v>
      </c>
      <c r="T178" s="249">
        <v>7.4472748581876402</v>
      </c>
      <c r="U178" s="249">
        <v>12.5802464377369</v>
      </c>
      <c r="V178" s="249">
        <v>81.594889282628401</v>
      </c>
      <c r="W178" s="249">
        <v>13.4694593836671</v>
      </c>
      <c r="X178" s="249">
        <v>52.7899727924842</v>
      </c>
      <c r="Y178" s="249">
        <v>66.884550310199003</v>
      </c>
      <c r="Z178" s="249">
        <v>72.069532965262198</v>
      </c>
      <c r="AA178" s="249">
        <v>39.320513408817099</v>
      </c>
      <c r="AB178" s="249">
        <v>58.600073581594998</v>
      </c>
      <c r="AC178" s="249">
        <v>62.186541912534501</v>
      </c>
      <c r="AD178" s="249">
        <v>28.804916490144201</v>
      </c>
      <c r="AE178" s="249">
        <v>9.5253563173662599</v>
      </c>
      <c r="AF178" s="249">
        <v>2.0948353628088201</v>
      </c>
      <c r="AG178" s="249">
        <v>5.3619412631580801</v>
      </c>
      <c r="AH178" s="249">
        <v>17.0359705633931</v>
      </c>
      <c r="AI178" s="249">
        <v>29.946504482719501</v>
      </c>
      <c r="AJ178" s="249">
        <v>6.8726666254649302</v>
      </c>
      <c r="AK178" s="249">
        <v>11.674029300235</v>
      </c>
      <c r="AL178" s="249">
        <v>82.964029436606907</v>
      </c>
      <c r="AM178" s="249">
        <v>12.910533919326401</v>
      </c>
      <c r="AN178" s="249">
        <v>51.548686085449503</v>
      </c>
      <c r="AO178" s="249">
        <v>66.125531233960004</v>
      </c>
      <c r="AP178" s="249">
        <v>71.572278429703303</v>
      </c>
      <c r="AQ178" s="249">
        <v>38.638152166123099</v>
      </c>
      <c r="AR178" s="249">
        <v>58.661744510376899</v>
      </c>
      <c r="AS178" s="249">
        <v>31.4153433511574</v>
      </c>
      <c r="AT178" s="241">
        <v>11.391751006903601</v>
      </c>
    </row>
    <row r="179" spans="1:46" x14ac:dyDescent="0.4">
      <c r="A179" s="251" t="s">
        <v>793</v>
      </c>
      <c r="B179" s="252">
        <v>807</v>
      </c>
      <c r="C179" s="253" t="s">
        <v>794</v>
      </c>
      <c r="D179" s="253" t="s">
        <v>795</v>
      </c>
      <c r="E179" s="253" t="s">
        <v>793</v>
      </c>
      <c r="F179" s="251">
        <v>1</v>
      </c>
      <c r="G179" s="254" t="e">
        <f t="shared" si="8"/>
        <v>#N/A</v>
      </c>
      <c r="H179" s="254" t="e">
        <f t="shared" si="7"/>
        <v>#N/A</v>
      </c>
      <c r="I179" s="251">
        <v>0.155</v>
      </c>
      <c r="J179" s="251">
        <v>11.222</v>
      </c>
      <c r="K179" s="251">
        <v>8</v>
      </c>
      <c r="L179" s="251">
        <v>3.5</v>
      </c>
      <c r="M179" s="251">
        <v>5.5</v>
      </c>
      <c r="N179" s="254">
        <v>1034.6500000000001</v>
      </c>
      <c r="O179" s="254">
        <v>1043.8030000000001</v>
      </c>
      <c r="P179" s="241">
        <v>2.3896969989851602</v>
      </c>
      <c r="Q179" s="241">
        <v>5.7131397090803597</v>
      </c>
      <c r="R179" s="241">
        <v>17.453824964963999</v>
      </c>
      <c r="S179" s="241">
        <v>31.6676170685739</v>
      </c>
      <c r="T179" s="241">
        <v>6.7345479147537803</v>
      </c>
      <c r="U179" s="241">
        <v>11.7406852558836</v>
      </c>
      <c r="V179" s="241">
        <v>82.546175035036001</v>
      </c>
      <c r="W179" s="241">
        <v>14.213792103609901</v>
      </c>
      <c r="X179" s="241">
        <v>52.432030155124899</v>
      </c>
      <c r="Y179" s="241">
        <v>65.781761948484998</v>
      </c>
      <c r="Z179" s="241">
        <v>71.831730536896501</v>
      </c>
      <c r="AA179" s="241">
        <v>38.218238051515002</v>
      </c>
      <c r="AB179" s="241">
        <v>57.617938433286596</v>
      </c>
      <c r="AC179" s="241">
        <v>61.604697240612801</v>
      </c>
      <c r="AD179" s="241">
        <v>30.114144879911098</v>
      </c>
      <c r="AE179" s="241">
        <v>10.7144444981395</v>
      </c>
      <c r="AF179" s="241">
        <v>2.2524365229837402</v>
      </c>
      <c r="AG179" s="241">
        <v>5.3869360406130298</v>
      </c>
      <c r="AH179" s="241">
        <v>16.456745190423899</v>
      </c>
      <c r="AI179" s="241">
        <v>29.8875362496563</v>
      </c>
      <c r="AJ179" s="241">
        <v>6.3492823837448302</v>
      </c>
      <c r="AK179" s="241">
        <v>11.0698091498108</v>
      </c>
      <c r="AL179" s="241">
        <v>83.543254809576098</v>
      </c>
      <c r="AM179" s="241">
        <v>13.4307910592324</v>
      </c>
      <c r="AN179" s="241">
        <v>49.991712995651497</v>
      </c>
      <c r="AO179" s="241">
        <v>63.283109935495503</v>
      </c>
      <c r="AP179" s="241">
        <v>69.626165090539104</v>
      </c>
      <c r="AQ179" s="241">
        <v>36.560921936419</v>
      </c>
      <c r="AR179" s="241">
        <v>56.195374031306699</v>
      </c>
      <c r="AS179" s="241">
        <v>33.5515418139247</v>
      </c>
      <c r="AT179" s="249">
        <v>13.917089719037</v>
      </c>
    </row>
    <row r="180" spans="1:46" x14ac:dyDescent="0.4">
      <c r="A180" s="247" t="s">
        <v>796</v>
      </c>
      <c r="B180" s="248">
        <v>626</v>
      </c>
      <c r="C180" s="249" t="s">
        <v>797</v>
      </c>
      <c r="D180" s="249" t="s">
        <v>374</v>
      </c>
      <c r="E180" s="249" t="s">
        <v>375</v>
      </c>
      <c r="F180" s="247">
        <v>1.3988592400000002</v>
      </c>
      <c r="G180" s="250" t="e">
        <f t="shared" si="8"/>
        <v>#N/A</v>
      </c>
      <c r="H180" s="250" t="e">
        <f t="shared" si="7"/>
        <v>#N/A</v>
      </c>
      <c r="I180" s="247">
        <v>2.2799999999999998</v>
      </c>
      <c r="J180" s="247">
        <v>35.755000000000003</v>
      </c>
      <c r="K180" s="247">
        <v>215</v>
      </c>
      <c r="L180" s="247">
        <v>22.3</v>
      </c>
      <c r="M180" s="247">
        <v>52.6</v>
      </c>
      <c r="N180" s="250">
        <v>601.57299999999998</v>
      </c>
      <c r="O180" s="250">
        <v>583.19200000000001</v>
      </c>
      <c r="P180" s="249">
        <v>8.0143224513068194</v>
      </c>
      <c r="Q180" s="249">
        <v>17.273714079588</v>
      </c>
      <c r="R180" s="249">
        <v>42.652845124365598</v>
      </c>
      <c r="S180" s="249">
        <v>62.545692708948003</v>
      </c>
      <c r="T180" s="249">
        <v>15.2171058209062</v>
      </c>
      <c r="U180" s="249">
        <v>25.379131044777601</v>
      </c>
      <c r="V180" s="249">
        <v>57.347154875634402</v>
      </c>
      <c r="W180" s="249">
        <v>19.892847584582402</v>
      </c>
      <c r="X180" s="249">
        <v>45.186203503149201</v>
      </c>
      <c r="Y180" s="249">
        <v>50.553299433318998</v>
      </c>
      <c r="Z180" s="249">
        <v>52.141801576866001</v>
      </c>
      <c r="AA180" s="249">
        <v>25.2933559185668</v>
      </c>
      <c r="AB180" s="249">
        <v>32.248953992283603</v>
      </c>
      <c r="AC180" s="249">
        <v>35.055429681850697</v>
      </c>
      <c r="AD180" s="249">
        <v>12.160951372485099</v>
      </c>
      <c r="AE180" s="249">
        <v>5.2053532987683901</v>
      </c>
      <c r="AF180" s="249">
        <v>7.9865636016954999</v>
      </c>
      <c r="AG180" s="249">
        <v>17.1158040576688</v>
      </c>
      <c r="AH180" s="249">
        <v>42.1615865786911</v>
      </c>
      <c r="AI180" s="249">
        <v>61.800401925952301</v>
      </c>
      <c r="AJ180" s="249">
        <v>14.9671120317151</v>
      </c>
      <c r="AK180" s="249">
        <v>25.0457825210222</v>
      </c>
      <c r="AL180" s="249">
        <v>57.8384134213089</v>
      </c>
      <c r="AM180" s="249">
        <v>19.6388153472613</v>
      </c>
      <c r="AN180" s="249">
        <v>44.944032154076197</v>
      </c>
      <c r="AO180" s="249">
        <v>50.232684947667302</v>
      </c>
      <c r="AP180" s="249">
        <v>51.871767788309903</v>
      </c>
      <c r="AQ180" s="249">
        <v>25.305216806814901</v>
      </c>
      <c r="AR180" s="249">
        <v>32.232952441048603</v>
      </c>
      <c r="AS180" s="249">
        <v>12.894381267232699</v>
      </c>
      <c r="AT180" s="241">
        <v>5.9666456329990796</v>
      </c>
    </row>
    <row r="181" spans="1:46" x14ac:dyDescent="0.4">
      <c r="A181" s="251" t="s">
        <v>798</v>
      </c>
      <c r="B181" s="252">
        <v>768</v>
      </c>
      <c r="C181" s="253" t="s">
        <v>799</v>
      </c>
      <c r="D181" s="253" t="s">
        <v>252</v>
      </c>
      <c r="E181" s="253" t="s">
        <v>253</v>
      </c>
      <c r="F181" s="251">
        <v>1</v>
      </c>
      <c r="G181" s="254" t="e">
        <f t="shared" si="8"/>
        <v>#N/A</v>
      </c>
      <c r="H181" s="254" t="e">
        <f t="shared" si="7"/>
        <v>#N/A</v>
      </c>
      <c r="I181" s="251">
        <v>2.673</v>
      </c>
      <c r="J181" s="251">
        <v>36.08</v>
      </c>
      <c r="K181" s="251">
        <v>368</v>
      </c>
      <c r="L181" s="251">
        <v>26.7</v>
      </c>
      <c r="M181" s="251">
        <v>78.400000000000006</v>
      </c>
      <c r="N181" s="254">
        <v>3609.0949999999998</v>
      </c>
      <c r="O181" s="254">
        <v>3695.4830000000002</v>
      </c>
      <c r="P181" s="241">
        <v>6.6475113567251602</v>
      </c>
      <c r="Q181" s="241">
        <v>16.127616480031701</v>
      </c>
      <c r="R181" s="241">
        <v>42.871523193487597</v>
      </c>
      <c r="S181" s="241">
        <v>62.648808080696099</v>
      </c>
      <c r="T181" s="241">
        <v>16.977109219901401</v>
      </c>
      <c r="U181" s="241">
        <v>26.7439067134559</v>
      </c>
      <c r="V181" s="241">
        <v>57.128476806512403</v>
      </c>
      <c r="W181" s="241">
        <v>19.777284887208602</v>
      </c>
      <c r="X181" s="241">
        <v>48.459322905049603</v>
      </c>
      <c r="Y181" s="241">
        <v>53.060448672035498</v>
      </c>
      <c r="Z181" s="241">
        <v>54.619288214912601</v>
      </c>
      <c r="AA181" s="241">
        <v>28.682038017840998</v>
      </c>
      <c r="AB181" s="241">
        <v>34.842003327703999</v>
      </c>
      <c r="AC181" s="241">
        <v>35.985641829876997</v>
      </c>
      <c r="AD181" s="241">
        <v>8.6691539014628294</v>
      </c>
      <c r="AE181" s="241">
        <v>2.50918859159983</v>
      </c>
      <c r="AF181" s="241">
        <v>6.4318250144839002</v>
      </c>
      <c r="AG181" s="241">
        <v>15.6397147544719</v>
      </c>
      <c r="AH181" s="241">
        <v>41.621514697808102</v>
      </c>
      <c r="AI181" s="241">
        <v>60.8641143796359</v>
      </c>
      <c r="AJ181" s="241">
        <v>16.507936851556298</v>
      </c>
      <c r="AK181" s="241">
        <v>25.981799943336199</v>
      </c>
      <c r="AL181" s="241">
        <v>58.378485302191898</v>
      </c>
      <c r="AM181" s="241">
        <v>19.242599681827802</v>
      </c>
      <c r="AN181" s="241">
        <v>48.298395635969598</v>
      </c>
      <c r="AO181" s="241">
        <v>53.551051378128399</v>
      </c>
      <c r="AP181" s="241">
        <v>55.364102608508801</v>
      </c>
      <c r="AQ181" s="241">
        <v>29.0557959541419</v>
      </c>
      <c r="AR181" s="241">
        <v>36.121502926681003</v>
      </c>
      <c r="AS181" s="241">
        <v>10.0800896662223</v>
      </c>
      <c r="AT181" s="249">
        <v>3.01438269368307</v>
      </c>
    </row>
    <row r="182" spans="1:46" x14ac:dyDescent="0.4">
      <c r="A182" s="247" t="s">
        <v>800</v>
      </c>
      <c r="B182" s="248">
        <v>776</v>
      </c>
      <c r="C182" s="249" t="s">
        <v>801</v>
      </c>
      <c r="D182" s="249" t="s">
        <v>802</v>
      </c>
      <c r="E182" s="249" t="s">
        <v>803</v>
      </c>
      <c r="F182" s="247">
        <v>1</v>
      </c>
      <c r="G182" s="250" t="e">
        <f t="shared" si="8"/>
        <v>#N/A</v>
      </c>
      <c r="H182" s="250" t="e">
        <f t="shared" si="7"/>
        <v>#N/A</v>
      </c>
      <c r="I182" s="247">
        <v>0.42299999999999999</v>
      </c>
      <c r="J182" s="247">
        <v>25.408999999999999</v>
      </c>
      <c r="K182" s="247">
        <v>124</v>
      </c>
      <c r="L182" s="247">
        <v>6.9</v>
      </c>
      <c r="M182" s="247">
        <v>16.7</v>
      </c>
      <c r="N182" s="250">
        <v>53.238999999999997</v>
      </c>
      <c r="O182" s="250">
        <v>52.930999999999997</v>
      </c>
      <c r="P182" s="249">
        <v>4.8780029677492101</v>
      </c>
      <c r="Q182" s="249">
        <v>12.4288585435489</v>
      </c>
      <c r="R182" s="249">
        <v>37.9496233963824</v>
      </c>
      <c r="S182" s="249">
        <v>58.560453802663503</v>
      </c>
      <c r="T182" s="249">
        <v>15.479253930389399</v>
      </c>
      <c r="U182" s="249">
        <v>25.520764852833501</v>
      </c>
      <c r="V182" s="249">
        <v>62.0503766036176</v>
      </c>
      <c r="W182" s="249">
        <v>20.610830406281099</v>
      </c>
      <c r="X182" s="249">
        <v>48.214654670448397</v>
      </c>
      <c r="Y182" s="249">
        <v>55.156933826706002</v>
      </c>
      <c r="Z182" s="249">
        <v>57.230601626627099</v>
      </c>
      <c r="AA182" s="249">
        <v>27.603824264167201</v>
      </c>
      <c r="AB182" s="249">
        <v>36.619771220346003</v>
      </c>
      <c r="AC182" s="249">
        <v>38.208831871372503</v>
      </c>
      <c r="AD182" s="249">
        <v>13.8357219331693</v>
      </c>
      <c r="AE182" s="249">
        <v>4.8197749769905496</v>
      </c>
      <c r="AF182" s="249">
        <v>4.6513385350739602</v>
      </c>
      <c r="AG182" s="249">
        <v>11.8890631199108</v>
      </c>
      <c r="AH182" s="249">
        <v>35.570837505431598</v>
      </c>
      <c r="AI182" s="249">
        <v>54.6655079254123</v>
      </c>
      <c r="AJ182" s="249">
        <v>14.5321267310272</v>
      </c>
      <c r="AK182" s="249">
        <v>23.6817743855208</v>
      </c>
      <c r="AL182" s="249">
        <v>64.429162494568402</v>
      </c>
      <c r="AM182" s="249">
        <v>19.094670419980702</v>
      </c>
      <c r="AN182" s="249">
        <v>47.503353422380101</v>
      </c>
      <c r="AO182" s="249">
        <v>55.001794789442798</v>
      </c>
      <c r="AP182" s="249">
        <v>57.495607488995098</v>
      </c>
      <c r="AQ182" s="249">
        <v>28.4086830023993</v>
      </c>
      <c r="AR182" s="249">
        <v>38.400937069014397</v>
      </c>
      <c r="AS182" s="249">
        <v>16.925809072188301</v>
      </c>
      <c r="AT182" s="241">
        <v>6.9335550055732904</v>
      </c>
    </row>
    <row r="183" spans="1:46" x14ac:dyDescent="0.4">
      <c r="A183" s="251" t="s">
        <v>804</v>
      </c>
      <c r="B183" s="252">
        <v>780</v>
      </c>
      <c r="C183" s="253" t="s">
        <v>805</v>
      </c>
      <c r="D183" s="253" t="s">
        <v>806</v>
      </c>
      <c r="E183" s="253" t="s">
        <v>807</v>
      </c>
      <c r="F183" s="251">
        <v>8.8866663291139236</v>
      </c>
      <c r="G183" s="254" t="e">
        <f t="shared" si="8"/>
        <v>#N/A</v>
      </c>
      <c r="H183" s="254" t="e">
        <f t="shared" si="7"/>
        <v>#N/A</v>
      </c>
      <c r="I183" s="251">
        <v>0.47599999999999998</v>
      </c>
      <c r="J183" s="251">
        <v>14.59</v>
      </c>
      <c r="K183" s="251">
        <v>63</v>
      </c>
      <c r="L183" s="251">
        <v>13.2</v>
      </c>
      <c r="M183" s="251">
        <v>20.399999999999999</v>
      </c>
      <c r="N183" s="254">
        <v>671.08500000000004</v>
      </c>
      <c r="O183" s="254">
        <v>689.00300000000004</v>
      </c>
      <c r="P183" s="241">
        <v>2.8488194491010801</v>
      </c>
      <c r="Q183" s="241">
        <v>7.2735942540810798</v>
      </c>
      <c r="R183" s="241">
        <v>21.355267961584602</v>
      </c>
      <c r="S183" s="241">
        <v>35.126101760581697</v>
      </c>
      <c r="T183" s="241">
        <v>8.6839968111342092</v>
      </c>
      <c r="U183" s="241">
        <v>14.0816737075035</v>
      </c>
      <c r="V183" s="241">
        <v>78.644732038415398</v>
      </c>
      <c r="W183" s="241">
        <v>13.770833798997099</v>
      </c>
      <c r="X183" s="241">
        <v>52.6858743676285</v>
      </c>
      <c r="Y183" s="241">
        <v>65.673349873711999</v>
      </c>
      <c r="Z183" s="241">
        <v>70.416862245468195</v>
      </c>
      <c r="AA183" s="241">
        <v>38.915040568631397</v>
      </c>
      <c r="AB183" s="241">
        <v>56.646028446471</v>
      </c>
      <c r="AC183" s="241">
        <v>60.079423619958703</v>
      </c>
      <c r="AD183" s="241">
        <v>25.958857670786902</v>
      </c>
      <c r="AE183" s="241">
        <v>8.2278697929472404</v>
      </c>
      <c r="AF183" s="241">
        <v>2.6819912250019202</v>
      </c>
      <c r="AG183" s="241">
        <v>6.8636856443295597</v>
      </c>
      <c r="AH183" s="241">
        <v>20.2195055754474</v>
      </c>
      <c r="AI183" s="241">
        <v>33.361973750477098</v>
      </c>
      <c r="AJ183" s="241">
        <v>8.2318944910254395</v>
      </c>
      <c r="AK183" s="241">
        <v>13.3558199311179</v>
      </c>
      <c r="AL183" s="241">
        <v>79.7804944245526</v>
      </c>
      <c r="AM183" s="241">
        <v>13.1424681750297</v>
      </c>
      <c r="AN183" s="241">
        <v>51.244189067391602</v>
      </c>
      <c r="AO183" s="241">
        <v>64.344132028452705</v>
      </c>
      <c r="AP183" s="241">
        <v>69.2155186552163</v>
      </c>
      <c r="AQ183" s="241">
        <v>38.101720892361897</v>
      </c>
      <c r="AR183" s="241">
        <v>56.073050480186602</v>
      </c>
      <c r="AS183" s="241">
        <v>28.536305357161002</v>
      </c>
      <c r="AT183" s="249">
        <v>10.5649757693363</v>
      </c>
    </row>
    <row r="184" spans="1:46" x14ac:dyDescent="0.4">
      <c r="A184" s="247" t="s">
        <v>808</v>
      </c>
      <c r="B184" s="248">
        <v>788</v>
      </c>
      <c r="C184" s="249" t="s">
        <v>809</v>
      </c>
      <c r="D184" s="249" t="s">
        <v>810</v>
      </c>
      <c r="E184" s="249" t="s">
        <v>811</v>
      </c>
      <c r="F184" s="247">
        <v>2.745022368421052</v>
      </c>
      <c r="G184" s="250" t="e">
        <f t="shared" si="8"/>
        <v>#N/A</v>
      </c>
      <c r="H184" s="250" t="e">
        <f t="shared" si="7"/>
        <v>#N/A</v>
      </c>
      <c r="I184" s="247">
        <v>1.123</v>
      </c>
      <c r="J184" s="247">
        <v>19.8</v>
      </c>
      <c r="K184" s="247">
        <v>62</v>
      </c>
      <c r="L184" s="247">
        <v>8.1999999999999993</v>
      </c>
      <c r="M184" s="247">
        <v>14</v>
      </c>
      <c r="N184" s="250">
        <v>5561.085</v>
      </c>
      <c r="O184" s="250">
        <v>5692.4690000000001</v>
      </c>
      <c r="P184" s="249">
        <v>3.77474899232794</v>
      </c>
      <c r="Q184" s="249">
        <v>9.0335249326345508</v>
      </c>
      <c r="R184" s="249">
        <v>24.176253375015801</v>
      </c>
      <c r="S184" s="249">
        <v>40.250328847697901</v>
      </c>
      <c r="T184" s="249">
        <v>9.3441297876223803</v>
      </c>
      <c r="U184" s="249">
        <v>15.1427284423813</v>
      </c>
      <c r="V184" s="249">
        <v>75.823746624984096</v>
      </c>
      <c r="W184" s="249">
        <v>16.074075472682001</v>
      </c>
      <c r="X184" s="249">
        <v>53.779037723753497</v>
      </c>
      <c r="Y184" s="249">
        <v>64.896616397699404</v>
      </c>
      <c r="Z184" s="249">
        <v>68.937644362565905</v>
      </c>
      <c r="AA184" s="249">
        <v>37.7049622510715</v>
      </c>
      <c r="AB184" s="249">
        <v>52.863568889883901</v>
      </c>
      <c r="AC184" s="249">
        <v>55.257921790441998</v>
      </c>
      <c r="AD184" s="249">
        <v>22.044708901230599</v>
      </c>
      <c r="AE184" s="249">
        <v>6.88610226241821</v>
      </c>
      <c r="AF184" s="249">
        <v>3.5195975595124001</v>
      </c>
      <c r="AG184" s="249">
        <v>8.4282057574665803</v>
      </c>
      <c r="AH184" s="249">
        <v>22.5561351322247</v>
      </c>
      <c r="AI184" s="249">
        <v>37.707680094524903</v>
      </c>
      <c r="AJ184" s="249">
        <v>8.7242987181836202</v>
      </c>
      <c r="AK184" s="249">
        <v>14.1279293747581</v>
      </c>
      <c r="AL184" s="249">
        <v>77.443864867775304</v>
      </c>
      <c r="AM184" s="249">
        <v>15.1515449623002</v>
      </c>
      <c r="AN184" s="249">
        <v>54.062499066749403</v>
      </c>
      <c r="AO184" s="249">
        <v>65.043305462006003</v>
      </c>
      <c r="AP184" s="249">
        <v>69.162080636714904</v>
      </c>
      <c r="AQ184" s="249">
        <v>38.910954104449203</v>
      </c>
      <c r="AR184" s="249">
        <v>54.010535674414697</v>
      </c>
      <c r="AS184" s="249">
        <v>23.3813658010259</v>
      </c>
      <c r="AT184" s="241">
        <v>8.2817842310603709</v>
      </c>
    </row>
    <row r="185" spans="1:46" x14ac:dyDescent="0.4">
      <c r="A185" s="251" t="s">
        <v>812</v>
      </c>
      <c r="B185" s="252">
        <v>792</v>
      </c>
      <c r="C185" s="253" t="s">
        <v>813</v>
      </c>
      <c r="D185" s="253" t="s">
        <v>814</v>
      </c>
      <c r="E185" s="253" t="s">
        <v>815</v>
      </c>
      <c r="F185" s="251">
        <v>1</v>
      </c>
      <c r="G185" s="254" t="e">
        <f t="shared" si="8"/>
        <v>#N/A</v>
      </c>
      <c r="H185" s="254" t="e">
        <f t="shared" si="7"/>
        <v>#N/A</v>
      </c>
      <c r="I185" s="251">
        <v>1.6850000000000001</v>
      </c>
      <c r="J185" s="251">
        <v>16.835999999999999</v>
      </c>
      <c r="K185" s="251">
        <v>16</v>
      </c>
      <c r="L185" s="251">
        <v>7.1</v>
      </c>
      <c r="M185" s="251">
        <v>13.5</v>
      </c>
      <c r="N185" s="254">
        <v>38674.561999999998</v>
      </c>
      <c r="O185" s="254">
        <v>39991.267999999996</v>
      </c>
      <c r="P185" s="241">
        <v>3.6685871193576798</v>
      </c>
      <c r="Q185" s="241">
        <v>9.0270317734949401</v>
      </c>
      <c r="R185" s="241">
        <v>26.664888926214601</v>
      </c>
      <c r="S185" s="241">
        <v>43.786797120029398</v>
      </c>
      <c r="T185" s="241">
        <v>10.562638046165899</v>
      </c>
      <c r="U185" s="241">
        <v>17.6378571527197</v>
      </c>
      <c r="V185" s="241">
        <v>73.335111073785399</v>
      </c>
      <c r="W185" s="241">
        <v>17.1219081938148</v>
      </c>
      <c r="X185" s="241">
        <v>54.064852757737803</v>
      </c>
      <c r="Y185" s="241">
        <v>63.469127329742001</v>
      </c>
      <c r="Z185" s="241">
        <v>66.816578297641797</v>
      </c>
      <c r="AA185" s="241">
        <v>36.9429445639229</v>
      </c>
      <c r="AB185" s="241">
        <v>49.694670103826901</v>
      </c>
      <c r="AC185" s="241">
        <v>52.071123649700297</v>
      </c>
      <c r="AD185" s="241">
        <v>19.270258316047599</v>
      </c>
      <c r="AE185" s="241">
        <v>6.51853277614366</v>
      </c>
      <c r="AF185" s="241">
        <v>3.37253872520371</v>
      </c>
      <c r="AG185" s="241">
        <v>8.3260775827363105</v>
      </c>
      <c r="AH185" s="241">
        <v>24.708866445545102</v>
      </c>
      <c r="AI185" s="241">
        <v>40.784595777258197</v>
      </c>
      <c r="AJ185" s="241">
        <v>9.8048528993879298</v>
      </c>
      <c r="AK185" s="241">
        <v>16.382788862808699</v>
      </c>
      <c r="AL185" s="241">
        <v>75.291133554454902</v>
      </c>
      <c r="AM185" s="241">
        <v>16.075729331713099</v>
      </c>
      <c r="AN185" s="241">
        <v>52.535566014060898</v>
      </c>
      <c r="AO185" s="241">
        <v>62.7571273809072</v>
      </c>
      <c r="AP185" s="241">
        <v>66.765859987235203</v>
      </c>
      <c r="AQ185" s="241">
        <v>36.459836682347699</v>
      </c>
      <c r="AR185" s="241">
        <v>50.690130655522097</v>
      </c>
      <c r="AS185" s="241">
        <v>22.7555675403941</v>
      </c>
      <c r="AT185" s="249">
        <v>8.5252735672197204</v>
      </c>
    </row>
    <row r="186" spans="1:46" x14ac:dyDescent="0.4">
      <c r="A186" s="247" t="s">
        <v>816</v>
      </c>
      <c r="B186" s="248">
        <v>795</v>
      </c>
      <c r="C186" s="249" t="s">
        <v>817</v>
      </c>
      <c r="D186" s="249" t="s">
        <v>818</v>
      </c>
      <c r="E186" s="249" t="s">
        <v>819</v>
      </c>
      <c r="F186" s="247">
        <v>1</v>
      </c>
      <c r="G186" s="250" t="e">
        <f t="shared" si="8"/>
        <v>#N/A</v>
      </c>
      <c r="H186" s="250" t="e">
        <f t="shared" si="7"/>
        <v>#N/A</v>
      </c>
      <c r="I186" s="247">
        <v>1.274</v>
      </c>
      <c r="J186" s="247">
        <v>21.321999999999999</v>
      </c>
      <c r="K186" s="247">
        <v>42</v>
      </c>
      <c r="L186" s="247">
        <v>22.6</v>
      </c>
      <c r="M186" s="247">
        <v>51.4</v>
      </c>
      <c r="N186" s="250">
        <v>2640.7060000000001</v>
      </c>
      <c r="O186" s="250">
        <v>2732.7959999999998</v>
      </c>
      <c r="P186" s="249">
        <v>4.1938405865704098</v>
      </c>
      <c r="Q186" s="249">
        <v>10.1472485009691</v>
      </c>
      <c r="R186" s="249">
        <v>29.121492509957601</v>
      </c>
      <c r="S186" s="249">
        <v>48.651913541303003</v>
      </c>
      <c r="T186" s="249">
        <v>11.4485292948174</v>
      </c>
      <c r="U186" s="249">
        <v>18.974244008988499</v>
      </c>
      <c r="V186" s="249">
        <v>70.878507490042495</v>
      </c>
      <c r="W186" s="249">
        <v>19.530421031345401</v>
      </c>
      <c r="X186" s="249">
        <v>56.478381160189699</v>
      </c>
      <c r="Y186" s="249">
        <v>65.013560767461399</v>
      </c>
      <c r="Z186" s="249">
        <v>67.4676014671834</v>
      </c>
      <c r="AA186" s="249">
        <v>36.947960128844301</v>
      </c>
      <c r="AB186" s="249">
        <v>47.937180435838002</v>
      </c>
      <c r="AC186" s="249">
        <v>49.344266268187397</v>
      </c>
      <c r="AD186" s="249">
        <v>14.4001263298527</v>
      </c>
      <c r="AE186" s="249">
        <v>3.4109060228590402</v>
      </c>
      <c r="AF186" s="249">
        <v>3.9205634083188099</v>
      </c>
      <c r="AG186" s="249">
        <v>9.50557597420371</v>
      </c>
      <c r="AH186" s="249">
        <v>27.356780381704301</v>
      </c>
      <c r="AI186" s="249">
        <v>45.874628036633503</v>
      </c>
      <c r="AJ186" s="249">
        <v>10.7695561615283</v>
      </c>
      <c r="AK186" s="249">
        <v>17.8512044075006</v>
      </c>
      <c r="AL186" s="249">
        <v>72.643219618295703</v>
      </c>
      <c r="AM186" s="249">
        <v>18.517847654929199</v>
      </c>
      <c r="AN186" s="249">
        <v>55.144182002608297</v>
      </c>
      <c r="AO186" s="249">
        <v>64.818925378989107</v>
      </c>
      <c r="AP186" s="249">
        <v>67.769054111613201</v>
      </c>
      <c r="AQ186" s="249">
        <v>36.626334347679098</v>
      </c>
      <c r="AR186" s="249">
        <v>49.251206456683903</v>
      </c>
      <c r="AS186" s="249">
        <v>17.499037615687399</v>
      </c>
      <c r="AT186" s="241">
        <v>4.8741655066825302</v>
      </c>
    </row>
    <row r="187" spans="1:46" x14ac:dyDescent="0.4">
      <c r="A187" s="251" t="s">
        <v>820</v>
      </c>
      <c r="B187" s="252">
        <v>798</v>
      </c>
      <c r="C187" s="253" t="s">
        <v>821</v>
      </c>
      <c r="D187" s="253" t="s">
        <v>216</v>
      </c>
      <c r="E187" s="253" t="s">
        <v>217</v>
      </c>
      <c r="F187" s="251">
        <v>1.8631010330578528</v>
      </c>
      <c r="G187" s="254" t="e">
        <f t="shared" si="8"/>
        <v>#N/A</v>
      </c>
      <c r="H187" s="254" t="e">
        <f t="shared" si="7"/>
        <v>#N/A</v>
      </c>
      <c r="I187" s="251">
        <v>0.18</v>
      </c>
      <c r="J187" s="251">
        <v>0</v>
      </c>
      <c r="K187" s="251">
        <v>0</v>
      </c>
      <c r="L187" s="251">
        <v>17.600000000000001</v>
      </c>
      <c r="M187" s="251">
        <v>27.1</v>
      </c>
      <c r="N187" s="254" t="e">
        <v>#N/A</v>
      </c>
      <c r="O187" s="254" t="e">
        <v>#N/A</v>
      </c>
      <c r="P187" s="241" t="e">
        <v>#N/A</v>
      </c>
      <c r="Q187" s="241" t="e">
        <v>#N/A</v>
      </c>
      <c r="R187" s="241" t="e">
        <v>#N/A</v>
      </c>
      <c r="S187" s="241" t="e">
        <v>#N/A</v>
      </c>
      <c r="T187" s="241" t="e">
        <v>#N/A</v>
      </c>
      <c r="U187" s="241" t="e">
        <v>#N/A</v>
      </c>
      <c r="V187" s="241" t="e">
        <v>#N/A</v>
      </c>
      <c r="W187" s="241" t="e">
        <v>#N/A</v>
      </c>
      <c r="X187" s="241" t="e">
        <v>#N/A</v>
      </c>
      <c r="Y187" s="241" t="e">
        <v>#N/A</v>
      </c>
      <c r="Z187" s="241" t="e">
        <v>#N/A</v>
      </c>
      <c r="AA187" s="241" t="e">
        <v>#N/A</v>
      </c>
      <c r="AB187" s="241" t="e">
        <v>#N/A</v>
      </c>
      <c r="AC187" s="241" t="e">
        <v>#N/A</v>
      </c>
      <c r="AD187" s="241" t="e">
        <v>#N/A</v>
      </c>
      <c r="AE187" s="241" t="e">
        <v>#N/A</v>
      </c>
      <c r="AF187" s="241" t="e">
        <v>#N/A</v>
      </c>
      <c r="AG187" s="241" t="e">
        <v>#N/A</v>
      </c>
      <c r="AH187" s="241" t="e">
        <v>#N/A</v>
      </c>
      <c r="AI187" s="241" t="e">
        <v>#N/A</v>
      </c>
      <c r="AJ187" s="241" t="e">
        <v>#N/A</v>
      </c>
      <c r="AK187" s="241" t="e">
        <v>#N/A</v>
      </c>
      <c r="AL187" s="241" t="e">
        <v>#N/A</v>
      </c>
      <c r="AM187" s="241" t="e">
        <v>#N/A</v>
      </c>
      <c r="AN187" s="241" t="e">
        <v>#N/A</v>
      </c>
      <c r="AO187" s="241" t="e">
        <v>#N/A</v>
      </c>
      <c r="AP187" s="241" t="e">
        <v>#N/A</v>
      </c>
      <c r="AQ187" s="241" t="e">
        <v>#N/A</v>
      </c>
      <c r="AR187" s="241" t="e">
        <v>#N/A</v>
      </c>
      <c r="AS187" s="241" t="e">
        <v>#N/A</v>
      </c>
      <c r="AT187" s="249" t="e">
        <v>#N/A</v>
      </c>
    </row>
    <row r="188" spans="1:46" x14ac:dyDescent="0.4">
      <c r="A188" s="247" t="s">
        <v>822</v>
      </c>
      <c r="B188" s="248">
        <v>800</v>
      </c>
      <c r="C188" s="249" t="s">
        <v>823</v>
      </c>
      <c r="D188" s="249" t="s">
        <v>824</v>
      </c>
      <c r="E188" s="249" t="s">
        <v>825</v>
      </c>
      <c r="F188" s="247">
        <v>1</v>
      </c>
      <c r="G188" s="250" t="e">
        <f t="shared" si="8"/>
        <v>#N/A</v>
      </c>
      <c r="H188" s="250" t="e">
        <f t="shared" si="7"/>
        <v>#N/A</v>
      </c>
      <c r="I188" s="247">
        <v>3.2669999999999999</v>
      </c>
      <c r="J188" s="247">
        <v>43.473999999999997</v>
      </c>
      <c r="K188" s="247">
        <v>343</v>
      </c>
      <c r="L188" s="247">
        <v>18.7</v>
      </c>
      <c r="M188" s="247">
        <v>54.6</v>
      </c>
      <c r="N188" s="250">
        <v>19507.178</v>
      </c>
      <c r="O188" s="250">
        <v>19525.205000000002</v>
      </c>
      <c r="P188" s="249">
        <v>7.8850564648561603</v>
      </c>
      <c r="Q188" s="249">
        <v>18.8361176588433</v>
      </c>
      <c r="R188" s="249">
        <v>48.503438067771803</v>
      </c>
      <c r="S188" s="249">
        <v>68.851527371104098</v>
      </c>
      <c r="T188" s="249">
        <v>19.002215492164002</v>
      </c>
      <c r="U188" s="249">
        <v>29.667320408928401</v>
      </c>
      <c r="V188" s="249">
        <v>51.496561932228197</v>
      </c>
      <c r="W188" s="249">
        <v>20.348089303332301</v>
      </c>
      <c r="X188" s="249">
        <v>44.929328065802203</v>
      </c>
      <c r="Y188" s="249">
        <v>48.173005854562803</v>
      </c>
      <c r="Z188" s="249">
        <v>49.298273691868701</v>
      </c>
      <c r="AA188" s="249">
        <v>24.581238762469901</v>
      </c>
      <c r="AB188" s="249">
        <v>28.9501843885363</v>
      </c>
      <c r="AC188" s="249">
        <v>29.834802348140801</v>
      </c>
      <c r="AD188" s="249">
        <v>6.5672338664259904</v>
      </c>
      <c r="AE188" s="249">
        <v>2.1982882403595201</v>
      </c>
      <c r="AF188" s="249">
        <v>7.7188843855928804</v>
      </c>
      <c r="AG188" s="249">
        <v>18.455760131583801</v>
      </c>
      <c r="AH188" s="249">
        <v>47.678254850589298</v>
      </c>
      <c r="AI188" s="249">
        <v>67.922590313392405</v>
      </c>
      <c r="AJ188" s="249">
        <v>18.688746161691999</v>
      </c>
      <c r="AK188" s="249">
        <v>29.2224947190055</v>
      </c>
      <c r="AL188" s="249">
        <v>52.321745149410802</v>
      </c>
      <c r="AM188" s="249">
        <v>20.2443354628031</v>
      </c>
      <c r="AN188" s="249">
        <v>44.550876674534301</v>
      </c>
      <c r="AO188" s="249">
        <v>48.093185193190003</v>
      </c>
      <c r="AP188" s="249">
        <v>49.542522088756598</v>
      </c>
      <c r="AQ188" s="249">
        <v>24.306541211731201</v>
      </c>
      <c r="AR188" s="249">
        <v>29.298186625953502</v>
      </c>
      <c r="AS188" s="249">
        <v>7.7708684748764503</v>
      </c>
      <c r="AT188" s="241">
        <v>2.7792230606541599</v>
      </c>
    </row>
    <row r="189" spans="1:46" x14ac:dyDescent="0.4">
      <c r="A189" s="251" t="s">
        <v>826</v>
      </c>
      <c r="B189" s="252">
        <v>804</v>
      </c>
      <c r="C189" s="253" t="s">
        <v>827</v>
      </c>
      <c r="D189" s="253" t="s">
        <v>828</v>
      </c>
      <c r="E189" s="253" t="s">
        <v>829</v>
      </c>
      <c r="F189" s="251">
        <v>1</v>
      </c>
      <c r="G189" s="254" t="e">
        <f t="shared" si="8"/>
        <v>#N/A</v>
      </c>
      <c r="H189" s="254" t="e">
        <f t="shared" si="7"/>
        <v>#N/A</v>
      </c>
      <c r="I189" s="251">
        <v>-0.36399999999999999</v>
      </c>
      <c r="J189" s="251">
        <v>11.1</v>
      </c>
      <c r="K189" s="251">
        <v>24</v>
      </c>
      <c r="L189" s="251">
        <v>5.5</v>
      </c>
      <c r="M189" s="251">
        <v>9</v>
      </c>
      <c r="N189" s="254">
        <v>20759.396000000001</v>
      </c>
      <c r="O189" s="254">
        <v>24064.368999999999</v>
      </c>
      <c r="P189" s="241">
        <v>2.2543574967210001</v>
      </c>
      <c r="Q189" s="241">
        <v>6.1108569825441901</v>
      </c>
      <c r="R189" s="241">
        <v>16.599167914133901</v>
      </c>
      <c r="S189" s="241">
        <v>28.663324308664901</v>
      </c>
      <c r="T189" s="241">
        <v>6.9278075335139802</v>
      </c>
      <c r="U189" s="241">
        <v>10.4883109315897</v>
      </c>
      <c r="V189" s="241">
        <v>83.400832085866099</v>
      </c>
      <c r="W189" s="241">
        <v>12.064156394530899</v>
      </c>
      <c r="X189" s="241">
        <v>51.692698573696497</v>
      </c>
      <c r="Y189" s="241">
        <v>65.852296473365598</v>
      </c>
      <c r="Z189" s="241">
        <v>72.332186350701207</v>
      </c>
      <c r="AA189" s="241">
        <v>39.6285421791655</v>
      </c>
      <c r="AB189" s="241">
        <v>60.268029956170203</v>
      </c>
      <c r="AC189" s="241">
        <v>63.713245799636901</v>
      </c>
      <c r="AD189" s="241">
        <v>31.708133512169599</v>
      </c>
      <c r="AE189" s="241">
        <v>11.0686457351649</v>
      </c>
      <c r="AF189" s="241">
        <v>1.82028874307903</v>
      </c>
      <c r="AG189" s="241">
        <v>4.9546530806604601</v>
      </c>
      <c r="AH189" s="241">
        <v>13.485635131342899</v>
      </c>
      <c r="AI189" s="241">
        <v>23.391666741812301</v>
      </c>
      <c r="AJ189" s="241">
        <v>5.6369772255403801</v>
      </c>
      <c r="AK189" s="241">
        <v>8.5309820506824803</v>
      </c>
      <c r="AL189" s="241">
        <v>86.514364868657097</v>
      </c>
      <c r="AM189" s="241">
        <v>9.9060316104694</v>
      </c>
      <c r="AN189" s="241">
        <v>44.748673858849102</v>
      </c>
      <c r="AO189" s="241">
        <v>59.607600764433101</v>
      </c>
      <c r="AP189" s="241">
        <v>67.552608589072094</v>
      </c>
      <c r="AQ189" s="241">
        <v>34.842642248379804</v>
      </c>
      <c r="AR189" s="241">
        <v>57.646576978602702</v>
      </c>
      <c r="AS189" s="241">
        <v>41.765691009807902</v>
      </c>
      <c r="AT189" s="249">
        <v>18.961756279585</v>
      </c>
    </row>
    <row r="190" spans="1:46" x14ac:dyDescent="0.4">
      <c r="A190" s="247" t="s">
        <v>830</v>
      </c>
      <c r="B190" s="248">
        <v>784</v>
      </c>
      <c r="C190" s="249" t="s">
        <v>831</v>
      </c>
      <c r="D190" s="249" t="s">
        <v>832</v>
      </c>
      <c r="E190" s="249" t="s">
        <v>833</v>
      </c>
      <c r="F190" s="247">
        <v>5.1371319354838691</v>
      </c>
      <c r="G190" s="250" t="e">
        <f t="shared" si="8"/>
        <v>#N/A</v>
      </c>
      <c r="H190" s="250" t="e">
        <f t="shared" si="7"/>
        <v>#N/A</v>
      </c>
      <c r="I190" s="247">
        <v>1.8939999999999999</v>
      </c>
      <c r="J190" s="247">
        <v>11.044</v>
      </c>
      <c r="K190" s="247">
        <v>6</v>
      </c>
      <c r="L190" s="247">
        <v>3.5</v>
      </c>
      <c r="M190" s="247">
        <v>6.8</v>
      </c>
      <c r="N190" s="250">
        <v>6708.2560000000003</v>
      </c>
      <c r="O190" s="250">
        <v>2448.7069999999999</v>
      </c>
      <c r="P190" s="249">
        <v>1.4672218830050601</v>
      </c>
      <c r="Q190" s="249">
        <v>3.7393623618418901</v>
      </c>
      <c r="R190" s="249">
        <v>9.7241816651004402</v>
      </c>
      <c r="S190" s="249">
        <v>21.006950241612699</v>
      </c>
      <c r="T190" s="249">
        <v>3.8393883596571201</v>
      </c>
      <c r="U190" s="249">
        <v>5.9848193032585497</v>
      </c>
      <c r="V190" s="249">
        <v>90.275818334899597</v>
      </c>
      <c r="W190" s="249">
        <v>11.2827685765123</v>
      </c>
      <c r="X190" s="249">
        <v>78.919215366855397</v>
      </c>
      <c r="Y190" s="249">
        <v>87.777523696173802</v>
      </c>
      <c r="Z190" s="249">
        <v>89.123626170498</v>
      </c>
      <c r="AA190" s="249">
        <v>67.636446790343101</v>
      </c>
      <c r="AB190" s="249">
        <v>77.840857593985703</v>
      </c>
      <c r="AC190" s="249">
        <v>78.530425791740797</v>
      </c>
      <c r="AD190" s="249">
        <v>11.3566029680442</v>
      </c>
      <c r="AE190" s="249">
        <v>1.1521921644016</v>
      </c>
      <c r="AF190" s="249">
        <v>3.9535967349299002</v>
      </c>
      <c r="AG190" s="249">
        <v>9.8214282068046508</v>
      </c>
      <c r="AH190" s="249">
        <v>25.479814449013301</v>
      </c>
      <c r="AI190" s="249">
        <v>42.065302218681097</v>
      </c>
      <c r="AJ190" s="249">
        <v>10.1527867564392</v>
      </c>
      <c r="AK190" s="249">
        <v>15.6583862422086</v>
      </c>
      <c r="AL190" s="249">
        <v>74.520185550986696</v>
      </c>
      <c r="AM190" s="249">
        <v>16.5854877696678</v>
      </c>
      <c r="AN190" s="249">
        <v>67.346807927612403</v>
      </c>
      <c r="AO190" s="249">
        <v>72.577568488185804</v>
      </c>
      <c r="AP190" s="249">
        <v>73.421524094144402</v>
      </c>
      <c r="AQ190" s="249">
        <v>50.761320157944603</v>
      </c>
      <c r="AR190" s="249">
        <v>56.836036324476602</v>
      </c>
      <c r="AS190" s="249">
        <v>7.1733776233743001</v>
      </c>
      <c r="AT190" s="241">
        <v>1.0986614568423301</v>
      </c>
    </row>
    <row r="191" spans="1:46" x14ac:dyDescent="0.4">
      <c r="A191" s="251" t="s">
        <v>834</v>
      </c>
      <c r="B191" s="252">
        <v>826</v>
      </c>
      <c r="C191" s="253" t="s">
        <v>835</v>
      </c>
      <c r="D191" s="253" t="s">
        <v>836</v>
      </c>
      <c r="E191" s="253" t="s">
        <v>837</v>
      </c>
      <c r="F191" s="251">
        <v>0.91509106122449013</v>
      </c>
      <c r="G191" s="254" t="e">
        <f t="shared" si="8"/>
        <v>#N/A</v>
      </c>
      <c r="H191" s="254" t="e">
        <f t="shared" si="7"/>
        <v>#N/A</v>
      </c>
      <c r="I191" s="251">
        <v>0.628</v>
      </c>
      <c r="J191" s="251">
        <v>12.2</v>
      </c>
      <c r="K191" s="251">
        <v>9</v>
      </c>
      <c r="L191" s="251">
        <v>2.4</v>
      </c>
      <c r="M191" s="251">
        <v>4.2</v>
      </c>
      <c r="N191" s="254">
        <v>31898.594000000001</v>
      </c>
      <c r="O191" s="254">
        <v>32817.216</v>
      </c>
      <c r="P191" s="241">
        <v>2.4973201013185702</v>
      </c>
      <c r="Q191" s="241">
        <v>6.5137071558702599</v>
      </c>
      <c r="R191" s="241">
        <v>18.453029622559502</v>
      </c>
      <c r="S191" s="241">
        <v>31.237110325301501</v>
      </c>
      <c r="T191" s="241">
        <v>7.5329871905952999</v>
      </c>
      <c r="U191" s="241">
        <v>11.939322466689299</v>
      </c>
      <c r="V191" s="241">
        <v>81.546970377440502</v>
      </c>
      <c r="W191" s="241">
        <v>12.7840807027419</v>
      </c>
      <c r="X191" s="241">
        <v>46.846371974890197</v>
      </c>
      <c r="Y191" s="241">
        <v>60.045702954807297</v>
      </c>
      <c r="Z191" s="241">
        <v>65.263183700196905</v>
      </c>
      <c r="AA191" s="241">
        <v>34.062291272148201</v>
      </c>
      <c r="AB191" s="241">
        <v>52.479102997455001</v>
      </c>
      <c r="AC191" s="241">
        <v>58.045815436254003</v>
      </c>
      <c r="AD191" s="241">
        <v>34.700598402550298</v>
      </c>
      <c r="AE191" s="241">
        <v>16.283786677243501</v>
      </c>
      <c r="AF191" s="241">
        <v>2.3084194588596398</v>
      </c>
      <c r="AG191" s="241">
        <v>6.0327024693380498</v>
      </c>
      <c r="AH191" s="241">
        <v>17.114413361572201</v>
      </c>
      <c r="AI191" s="241">
        <v>29.093293593216401</v>
      </c>
      <c r="AJ191" s="241">
        <v>6.9947310582347999</v>
      </c>
      <c r="AK191" s="241">
        <v>11.081710892234099</v>
      </c>
      <c r="AL191" s="241">
        <v>82.885586638427796</v>
      </c>
      <c r="AM191" s="241">
        <v>11.9788802316443</v>
      </c>
      <c r="AN191" s="241">
        <v>45.215995774900598</v>
      </c>
      <c r="AO191" s="241">
        <v>58.4159546013897</v>
      </c>
      <c r="AP191" s="241">
        <v>63.6899668759227</v>
      </c>
      <c r="AQ191" s="241">
        <v>33.237115543256301</v>
      </c>
      <c r="AR191" s="241">
        <v>51.711086644278403</v>
      </c>
      <c r="AS191" s="241">
        <v>37.669590863527198</v>
      </c>
      <c r="AT191" s="249">
        <v>19.1956197625051</v>
      </c>
    </row>
    <row r="192" spans="1:46" x14ac:dyDescent="0.4">
      <c r="A192" s="247" t="s">
        <v>838</v>
      </c>
      <c r="B192" s="248">
        <v>834</v>
      </c>
      <c r="C192" s="249" t="s">
        <v>839</v>
      </c>
      <c r="D192" s="249" t="s">
        <v>840</v>
      </c>
      <c r="E192" s="249" t="s">
        <v>841</v>
      </c>
      <c r="F192" s="247">
        <v>1</v>
      </c>
      <c r="G192" s="250" t="e">
        <f t="shared" si="8"/>
        <v>#N/A</v>
      </c>
      <c r="H192" s="250" t="e">
        <f t="shared" si="7"/>
        <v>#N/A</v>
      </c>
      <c r="I192" s="247">
        <v>3.1629999999999998</v>
      </c>
      <c r="J192" s="247">
        <v>39.518000000000001</v>
      </c>
      <c r="K192" s="247">
        <v>398</v>
      </c>
      <c r="L192" s="247">
        <v>18.8</v>
      </c>
      <c r="M192" s="247">
        <v>48.7</v>
      </c>
      <c r="N192" s="250">
        <v>26574.231</v>
      </c>
      <c r="O192" s="250">
        <v>26896.188999999998</v>
      </c>
      <c r="P192" s="249">
        <v>7.4645019831429904</v>
      </c>
      <c r="Q192" s="249">
        <v>17.886259813125001</v>
      </c>
      <c r="R192" s="249">
        <v>45.710451602531798</v>
      </c>
      <c r="S192" s="249">
        <v>64.892884388639501</v>
      </c>
      <c r="T192" s="249">
        <v>17.9316120191775</v>
      </c>
      <c r="U192" s="249">
        <v>27.8241917894068</v>
      </c>
      <c r="V192" s="249">
        <v>54.289548397468202</v>
      </c>
      <c r="W192" s="249">
        <v>19.1824327861077</v>
      </c>
      <c r="X192" s="249">
        <v>45.301066284853199</v>
      </c>
      <c r="Y192" s="249">
        <v>49.813550578377999</v>
      </c>
      <c r="Z192" s="249">
        <v>51.296430741495399</v>
      </c>
      <c r="AA192" s="249">
        <v>26.118633498745499</v>
      </c>
      <c r="AB192" s="249">
        <v>32.113997955387703</v>
      </c>
      <c r="AC192" s="249">
        <v>33.311842589160896</v>
      </c>
      <c r="AD192" s="249">
        <v>8.9884821126150296</v>
      </c>
      <c r="AE192" s="249">
        <v>2.9931176559728101</v>
      </c>
      <c r="AF192" s="249">
        <v>7.2513693296845902</v>
      </c>
      <c r="AG192" s="249">
        <v>17.271272149373999</v>
      </c>
      <c r="AH192" s="249">
        <v>44.6930604183366</v>
      </c>
      <c r="AI192" s="249">
        <v>63.880001735561898</v>
      </c>
      <c r="AJ192" s="249">
        <v>17.488462770692198</v>
      </c>
      <c r="AK192" s="249">
        <v>27.421788268962601</v>
      </c>
      <c r="AL192" s="249">
        <v>55.3069395816634</v>
      </c>
      <c r="AM192" s="249">
        <v>19.186941317225301</v>
      </c>
      <c r="AN192" s="249">
        <v>45.753935622626699</v>
      </c>
      <c r="AO192" s="249">
        <v>50.242865262435501</v>
      </c>
      <c r="AP192" s="249">
        <v>51.898620284085602</v>
      </c>
      <c r="AQ192" s="249">
        <v>26.566994305401401</v>
      </c>
      <c r="AR192" s="249">
        <v>32.711678966860298</v>
      </c>
      <c r="AS192" s="249">
        <v>9.5530039590367295</v>
      </c>
      <c r="AT192" s="241">
        <v>3.40831929757781</v>
      </c>
    </row>
    <row r="193" spans="1:46" x14ac:dyDescent="0.4">
      <c r="A193" s="251" t="s">
        <v>842</v>
      </c>
      <c r="B193" s="252">
        <v>840</v>
      </c>
      <c r="C193" s="253" t="s">
        <v>843</v>
      </c>
      <c r="D193" s="253" t="s">
        <v>374</v>
      </c>
      <c r="E193" s="253" t="s">
        <v>375</v>
      </c>
      <c r="F193" s="251">
        <v>1.3988592400000002</v>
      </c>
      <c r="G193" s="254" t="e">
        <f t="shared" si="8"/>
        <v>#N/A</v>
      </c>
      <c r="H193" s="254" t="e">
        <f t="shared" si="7"/>
        <v>#N/A</v>
      </c>
      <c r="I193" s="251">
        <v>0.754</v>
      </c>
      <c r="J193" s="251">
        <v>12.5</v>
      </c>
      <c r="K193" s="251">
        <v>14</v>
      </c>
      <c r="L193" s="251">
        <v>3.6</v>
      </c>
      <c r="M193" s="251">
        <v>6.5</v>
      </c>
      <c r="N193" s="254">
        <v>159493.772</v>
      </c>
      <c r="O193" s="254">
        <v>162279.859</v>
      </c>
      <c r="P193" s="241">
        <v>2.4589173300133602</v>
      </c>
      <c r="Q193" s="241">
        <v>6.3142559572796397</v>
      </c>
      <c r="R193" s="241">
        <v>19.523088337267499</v>
      </c>
      <c r="S193" s="241">
        <v>33.726462372461803</v>
      </c>
      <c r="T193" s="241">
        <v>7.9262674908710498</v>
      </c>
      <c r="U193" s="241">
        <v>13.2088323799879</v>
      </c>
      <c r="V193" s="241">
        <v>80.476911662732505</v>
      </c>
      <c r="W193" s="241">
        <v>14.203374035194299</v>
      </c>
      <c r="X193" s="241">
        <v>47.514822083460402</v>
      </c>
      <c r="Y193" s="241">
        <v>61.486940693834697</v>
      </c>
      <c r="Z193" s="241">
        <v>67.227245713393799</v>
      </c>
      <c r="AA193" s="241">
        <v>33.311448048266101</v>
      </c>
      <c r="AB193" s="241">
        <v>53.023871678199498</v>
      </c>
      <c r="AC193" s="241">
        <v>57.805585662617602</v>
      </c>
      <c r="AD193" s="241">
        <v>32.962089579272103</v>
      </c>
      <c r="AE193" s="241">
        <v>13.2496659493388</v>
      </c>
      <c r="AF193" s="241">
        <v>2.3086715893683398</v>
      </c>
      <c r="AG193" s="241">
        <v>5.9344573376786096</v>
      </c>
      <c r="AH193" s="241">
        <v>18.387435867811501</v>
      </c>
      <c r="AI193" s="241">
        <v>31.5478028607358</v>
      </c>
      <c r="AJ193" s="241">
        <v>7.4769340291329698</v>
      </c>
      <c r="AK193" s="241">
        <v>12.452978530132899</v>
      </c>
      <c r="AL193" s="241">
        <v>81.612564132188496</v>
      </c>
      <c r="AM193" s="241">
        <v>13.1603669929242</v>
      </c>
      <c r="AN193" s="241">
        <v>45.226666113876803</v>
      </c>
      <c r="AO193" s="241">
        <v>59.270394115883498</v>
      </c>
      <c r="AP193" s="241">
        <v>65.316469125105698</v>
      </c>
      <c r="AQ193" s="241">
        <v>32.0662991209525</v>
      </c>
      <c r="AR193" s="241">
        <v>52.156102132181402</v>
      </c>
      <c r="AS193" s="241">
        <v>36.3858980183117</v>
      </c>
      <c r="AT193" s="249">
        <v>16.296095007082801</v>
      </c>
    </row>
    <row r="194" spans="1:46" x14ac:dyDescent="0.4">
      <c r="A194" s="247" t="s">
        <v>844</v>
      </c>
      <c r="B194" s="248">
        <v>858</v>
      </c>
      <c r="C194" s="249" t="s">
        <v>845</v>
      </c>
      <c r="D194" s="249" t="s">
        <v>846</v>
      </c>
      <c r="E194" s="249" t="s">
        <v>847</v>
      </c>
      <c r="F194" s="247">
        <v>38.089607589285727</v>
      </c>
      <c r="G194" s="250" t="e">
        <f t="shared" si="8"/>
        <v>#N/A</v>
      </c>
      <c r="H194" s="250" t="e">
        <f t="shared" si="7"/>
        <v>#N/A</v>
      </c>
      <c r="I194" s="247">
        <v>0.33600000000000002</v>
      </c>
      <c r="J194" s="247">
        <v>14.374000000000001</v>
      </c>
      <c r="K194" s="247">
        <v>15</v>
      </c>
      <c r="L194" s="247">
        <v>5.0999999999999996</v>
      </c>
      <c r="M194" s="247">
        <v>10.1</v>
      </c>
      <c r="N194" s="250">
        <v>1656.3989999999999</v>
      </c>
      <c r="O194" s="250">
        <v>1775.1559999999999</v>
      </c>
      <c r="P194" s="249">
        <v>2.9481423256111601</v>
      </c>
      <c r="Q194" s="249">
        <v>7.4199513523009903</v>
      </c>
      <c r="R194" s="249">
        <v>22.664345969781401</v>
      </c>
      <c r="S194" s="249">
        <v>38.6364034269521</v>
      </c>
      <c r="T194" s="249">
        <v>9.0781267073935705</v>
      </c>
      <c r="U194" s="249">
        <v>15.244394617480401</v>
      </c>
      <c r="V194" s="249">
        <v>77.335654030218606</v>
      </c>
      <c r="W194" s="249">
        <v>15.9720574571706</v>
      </c>
      <c r="X194" s="249">
        <v>49.9457558233252</v>
      </c>
      <c r="Y194" s="249">
        <v>61.175719135305002</v>
      </c>
      <c r="Z194" s="249">
        <v>65.757223953890303</v>
      </c>
      <c r="AA194" s="249">
        <v>33.973698366154501</v>
      </c>
      <c r="AB194" s="249">
        <v>49.785166496719697</v>
      </c>
      <c r="AC194" s="249">
        <v>53.586605642722503</v>
      </c>
      <c r="AD194" s="249">
        <v>27.389898206893399</v>
      </c>
      <c r="AE194" s="249">
        <v>11.5784300763282</v>
      </c>
      <c r="AF194" s="249">
        <v>2.6461336355790701</v>
      </c>
      <c r="AG194" s="249">
        <v>6.6392474802214601</v>
      </c>
      <c r="AH194" s="249">
        <v>20.249206266942199</v>
      </c>
      <c r="AI194" s="249">
        <v>34.617915270545197</v>
      </c>
      <c r="AJ194" s="249">
        <v>8.0920212082769094</v>
      </c>
      <c r="AK194" s="249">
        <v>13.6099587867207</v>
      </c>
      <c r="AL194" s="249">
        <v>79.750793733057805</v>
      </c>
      <c r="AM194" s="249">
        <v>14.368709003603101</v>
      </c>
      <c r="AN194" s="249">
        <v>46.374628483355799</v>
      </c>
      <c r="AO194" s="249">
        <v>57.829227403112803</v>
      </c>
      <c r="AP194" s="249">
        <v>62.651282478835697</v>
      </c>
      <c r="AQ194" s="249">
        <v>32.005919479752798</v>
      </c>
      <c r="AR194" s="249">
        <v>48.282573475232603</v>
      </c>
      <c r="AS194" s="249">
        <v>33.376165249701998</v>
      </c>
      <c r="AT194" s="241">
        <v>17.0995112542222</v>
      </c>
    </row>
    <row r="195" spans="1:46" x14ac:dyDescent="0.4">
      <c r="A195" s="251" t="s">
        <v>848</v>
      </c>
      <c r="B195" s="252">
        <v>860</v>
      </c>
      <c r="C195" s="253" t="s">
        <v>849</v>
      </c>
      <c r="D195" s="253" t="s">
        <v>850</v>
      </c>
      <c r="E195" s="253" t="s">
        <v>851</v>
      </c>
      <c r="F195" s="251">
        <v>1</v>
      </c>
      <c r="G195" s="254" t="e">
        <f t="shared" si="8"/>
        <v>#N/A</v>
      </c>
      <c r="H195" s="254" t="e">
        <f t="shared" si="7"/>
        <v>#N/A</v>
      </c>
      <c r="I195" s="251">
        <v>1.4950000000000001</v>
      </c>
      <c r="J195" s="251">
        <v>22.5</v>
      </c>
      <c r="K195" s="251">
        <v>36</v>
      </c>
      <c r="L195" s="251">
        <v>20.399999999999999</v>
      </c>
      <c r="M195" s="251">
        <v>39.1</v>
      </c>
      <c r="N195" s="254">
        <v>14699.448</v>
      </c>
      <c r="O195" s="254">
        <v>15194.04</v>
      </c>
      <c r="P195" s="241">
        <v>4.52321066750262</v>
      </c>
      <c r="Q195" s="241">
        <v>11.1091722627952</v>
      </c>
      <c r="R195" s="241">
        <v>29.6165270967998</v>
      </c>
      <c r="S195" s="241">
        <v>49.120103013392097</v>
      </c>
      <c r="T195" s="241">
        <v>11.6504374858158</v>
      </c>
      <c r="U195" s="241">
        <v>18.507354834004701</v>
      </c>
      <c r="V195" s="241">
        <v>70.3834729032002</v>
      </c>
      <c r="W195" s="241">
        <v>19.503575916592201</v>
      </c>
      <c r="X195" s="241">
        <v>55.270299945957198</v>
      </c>
      <c r="Y195" s="241">
        <v>63.940958871380801</v>
      </c>
      <c r="Z195" s="241">
        <v>66.487231357259105</v>
      </c>
      <c r="AA195" s="241">
        <v>35.766724029364902</v>
      </c>
      <c r="AB195" s="241">
        <v>46.983655440666901</v>
      </c>
      <c r="AC195" s="241">
        <v>48.408851815387898</v>
      </c>
      <c r="AD195" s="241">
        <v>15.113172957243</v>
      </c>
      <c r="AE195" s="241">
        <v>3.89624154594105</v>
      </c>
      <c r="AF195" s="241">
        <v>4.1842196018965296</v>
      </c>
      <c r="AG195" s="241">
        <v>10.2800045280913</v>
      </c>
      <c r="AH195" s="241">
        <v>27.4590036619622</v>
      </c>
      <c r="AI195" s="241">
        <v>45.648649075558602</v>
      </c>
      <c r="AJ195" s="241">
        <v>10.803545337513899</v>
      </c>
      <c r="AK195" s="241">
        <v>17.178999133870899</v>
      </c>
      <c r="AL195" s="241">
        <v>72.5409963380378</v>
      </c>
      <c r="AM195" s="241">
        <v>18.189645413596399</v>
      </c>
      <c r="AN195" s="241">
        <v>54.614322458016403</v>
      </c>
      <c r="AO195" s="241">
        <v>64.178039547085604</v>
      </c>
      <c r="AP195" s="241">
        <v>67.146552200731406</v>
      </c>
      <c r="AQ195" s="241">
        <v>36.4246770444201</v>
      </c>
      <c r="AR195" s="241">
        <v>48.956906787134997</v>
      </c>
      <c r="AS195" s="241">
        <v>17.926673880021401</v>
      </c>
      <c r="AT195" s="249">
        <v>5.3944441373064702</v>
      </c>
    </row>
    <row r="196" spans="1:46" x14ac:dyDescent="0.4">
      <c r="A196" s="247" t="s">
        <v>852</v>
      </c>
      <c r="B196" s="248">
        <v>548</v>
      </c>
      <c r="C196" s="249" t="s">
        <v>853</v>
      </c>
      <c r="D196" s="249" t="s">
        <v>854</v>
      </c>
      <c r="E196" s="249" t="s">
        <v>855</v>
      </c>
      <c r="F196" s="247">
        <v>1</v>
      </c>
      <c r="G196" s="250" t="e">
        <f t="shared" si="8"/>
        <v>#N/A</v>
      </c>
      <c r="H196" s="250" t="e">
        <f t="shared" si="7"/>
        <v>#N/A</v>
      </c>
      <c r="I196" s="247">
        <v>2.266</v>
      </c>
      <c r="J196" s="247">
        <v>26.739000000000001</v>
      </c>
      <c r="K196" s="247">
        <v>78</v>
      </c>
      <c r="L196" s="247">
        <v>11.6</v>
      </c>
      <c r="M196" s="247">
        <v>27.5</v>
      </c>
      <c r="N196" s="250">
        <v>134.05500000000001</v>
      </c>
      <c r="O196" s="250">
        <v>130.59700000000001</v>
      </c>
      <c r="P196" s="249">
        <v>5.2374025586512998</v>
      </c>
      <c r="Q196" s="249">
        <v>13.413151318488699</v>
      </c>
      <c r="R196" s="249">
        <v>37.5786057961285</v>
      </c>
      <c r="S196" s="249">
        <v>55.668941852224798</v>
      </c>
      <c r="T196" s="249">
        <v>15.380254373205</v>
      </c>
      <c r="U196" s="249">
        <v>24.165454477639798</v>
      </c>
      <c r="V196" s="249">
        <v>62.4213942038715</v>
      </c>
      <c r="W196" s="249">
        <v>18.090336056096401</v>
      </c>
      <c r="X196" s="249">
        <v>49.5759203312073</v>
      </c>
      <c r="Y196" s="249">
        <v>56.106075864384003</v>
      </c>
      <c r="Z196" s="249">
        <v>58.318600574391098</v>
      </c>
      <c r="AA196" s="249">
        <v>31.485584275111002</v>
      </c>
      <c r="AB196" s="249">
        <v>40.228264518294701</v>
      </c>
      <c r="AC196" s="249">
        <v>41.829099996270202</v>
      </c>
      <c r="AD196" s="249">
        <v>12.845473872664201</v>
      </c>
      <c r="AE196" s="249">
        <v>4.1027936294804404</v>
      </c>
      <c r="AF196" s="249">
        <v>5.0116005727543502</v>
      </c>
      <c r="AG196" s="249">
        <v>12.8540471833197</v>
      </c>
      <c r="AH196" s="249">
        <v>35.4556383377872</v>
      </c>
      <c r="AI196" s="249">
        <v>54.018851887868799</v>
      </c>
      <c r="AJ196" s="249">
        <v>14.5018645144988</v>
      </c>
      <c r="AK196" s="249">
        <v>22.601591154467599</v>
      </c>
      <c r="AL196" s="249">
        <v>64.544361662212793</v>
      </c>
      <c r="AM196" s="249">
        <v>18.5632135500815</v>
      </c>
      <c r="AN196" s="249">
        <v>50.910817246950501</v>
      </c>
      <c r="AO196" s="249">
        <v>57.913275190088598</v>
      </c>
      <c r="AP196" s="249">
        <v>60.2464068853036</v>
      </c>
      <c r="AQ196" s="249">
        <v>32.347603696869001</v>
      </c>
      <c r="AR196" s="249">
        <v>41.6831933352221</v>
      </c>
      <c r="AS196" s="249">
        <v>13.6335444152622</v>
      </c>
      <c r="AT196" s="241">
        <v>4.29795477690912</v>
      </c>
    </row>
    <row r="197" spans="1:46" x14ac:dyDescent="0.4">
      <c r="A197" s="251" t="s">
        <v>856</v>
      </c>
      <c r="B197" s="252">
        <v>862</v>
      </c>
      <c r="C197" s="253" t="s">
        <v>857</v>
      </c>
      <c r="D197" s="253" t="s">
        <v>858</v>
      </c>
      <c r="E197" s="253" t="s">
        <v>859</v>
      </c>
      <c r="F197" s="251">
        <v>1</v>
      </c>
      <c r="G197" s="254" t="e">
        <f t="shared" si="8"/>
        <v>#N/A</v>
      </c>
      <c r="H197" s="254" t="e">
        <f t="shared" si="7"/>
        <v>#N/A</v>
      </c>
      <c r="I197" s="251">
        <v>1.4059999999999999</v>
      </c>
      <c r="J197" s="251">
        <v>19.841999999999999</v>
      </c>
      <c r="K197" s="251">
        <v>95</v>
      </c>
      <c r="L197" s="251">
        <v>8.9</v>
      </c>
      <c r="M197" s="251">
        <v>14.9</v>
      </c>
      <c r="N197" s="254">
        <v>15487.200999999999</v>
      </c>
      <c r="O197" s="254">
        <v>15620.882</v>
      </c>
      <c r="P197" s="241">
        <v>3.9188553180138901</v>
      </c>
      <c r="Q197" s="241">
        <v>9.7694541447483001</v>
      </c>
      <c r="R197" s="241">
        <v>28.8283402533486</v>
      </c>
      <c r="S197" s="241">
        <v>46.890810030811899</v>
      </c>
      <c r="T197" s="241">
        <v>11.539386619958</v>
      </c>
      <c r="U197" s="241">
        <v>19.058886108600301</v>
      </c>
      <c r="V197" s="241">
        <v>71.1716597466514</v>
      </c>
      <c r="W197" s="241">
        <v>18.062469777463299</v>
      </c>
      <c r="X197" s="241">
        <v>53.173455939520601</v>
      </c>
      <c r="Y197" s="241">
        <v>62.569330636310603</v>
      </c>
      <c r="Z197" s="241">
        <v>65.599594142285596</v>
      </c>
      <c r="AA197" s="241">
        <v>35.110986162057301</v>
      </c>
      <c r="AB197" s="241">
        <v>47.537124364822297</v>
      </c>
      <c r="AC197" s="241">
        <v>49.757073599031898</v>
      </c>
      <c r="AD197" s="241">
        <v>17.9982038071308</v>
      </c>
      <c r="AE197" s="241">
        <v>5.5720656043658296</v>
      </c>
      <c r="AF197" s="241">
        <v>3.7101234104450702</v>
      </c>
      <c r="AG197" s="241">
        <v>9.2627996293679207</v>
      </c>
      <c r="AH197" s="241">
        <v>27.388671139056001</v>
      </c>
      <c r="AI197" s="241">
        <v>44.783610810196201</v>
      </c>
      <c r="AJ197" s="241">
        <v>10.9694638241298</v>
      </c>
      <c r="AK197" s="241">
        <v>18.1258715096881</v>
      </c>
      <c r="AL197" s="241">
        <v>72.611328860943999</v>
      </c>
      <c r="AM197" s="241">
        <v>17.3949396711402</v>
      </c>
      <c r="AN197" s="241">
        <v>52.649331836704199</v>
      </c>
      <c r="AO197" s="241">
        <v>62.417851949717097</v>
      </c>
      <c r="AP197" s="241">
        <v>65.655351599224701</v>
      </c>
      <c r="AQ197" s="241">
        <v>35.254392165563999</v>
      </c>
      <c r="AR197" s="241">
        <v>48.260411928084501</v>
      </c>
      <c r="AS197" s="241">
        <v>19.9619970242397</v>
      </c>
      <c r="AT197" s="249">
        <v>6.9559772617192799</v>
      </c>
    </row>
    <row r="198" spans="1:46" x14ac:dyDescent="0.4">
      <c r="A198" s="247" t="s">
        <v>860</v>
      </c>
      <c r="B198" s="248">
        <v>704</v>
      </c>
      <c r="C198" s="249" t="s">
        <v>861</v>
      </c>
      <c r="D198" s="249" t="s">
        <v>862</v>
      </c>
      <c r="E198" s="249" t="s">
        <v>863</v>
      </c>
      <c r="F198" s="247">
        <v>1</v>
      </c>
      <c r="G198" s="250" t="e">
        <f t="shared" si="8"/>
        <v>#N/A</v>
      </c>
      <c r="H198" s="250" t="e">
        <f t="shared" si="7"/>
        <v>#N/A</v>
      </c>
      <c r="I198" s="247">
        <v>1.1200000000000001</v>
      </c>
      <c r="J198" s="247">
        <v>15.537000000000001</v>
      </c>
      <c r="K198" s="247">
        <v>54</v>
      </c>
      <c r="L198" s="247">
        <v>11.4</v>
      </c>
      <c r="M198" s="247">
        <v>21.7</v>
      </c>
      <c r="N198" s="250">
        <v>46224.468999999997</v>
      </c>
      <c r="O198" s="250">
        <v>47223.131999999998</v>
      </c>
      <c r="P198" s="249">
        <v>3.5447264953979198</v>
      </c>
      <c r="Q198" s="249">
        <v>8.8233874574091899</v>
      </c>
      <c r="R198" s="249">
        <v>24.359085660886699</v>
      </c>
      <c r="S198" s="249">
        <v>41.8229704271995</v>
      </c>
      <c r="T198" s="249">
        <v>9.6832826787042201</v>
      </c>
      <c r="U198" s="249">
        <v>15.5356982034775</v>
      </c>
      <c r="V198" s="249">
        <v>75.640914339113294</v>
      </c>
      <c r="W198" s="249">
        <v>17.463884766312798</v>
      </c>
      <c r="X198" s="249">
        <v>56.822643003211098</v>
      </c>
      <c r="Y198" s="249">
        <v>67.331927598778904</v>
      </c>
      <c r="Z198" s="249">
        <v>70.596354497874302</v>
      </c>
      <c r="AA198" s="249">
        <v>39.358758236898296</v>
      </c>
      <c r="AB198" s="249">
        <v>53.1324697315614</v>
      </c>
      <c r="AC198" s="249">
        <v>54.857748609291797</v>
      </c>
      <c r="AD198" s="249">
        <v>18.8182713359022</v>
      </c>
      <c r="AE198" s="249">
        <v>5.0445598412390602</v>
      </c>
      <c r="AF198" s="249">
        <v>3.1146642285395201</v>
      </c>
      <c r="AG198" s="249">
        <v>7.7552691761317298</v>
      </c>
      <c r="AH198" s="249">
        <v>21.847134154507199</v>
      </c>
      <c r="AI198" s="249">
        <v>38.1602939847361</v>
      </c>
      <c r="AJ198" s="249">
        <v>8.6823042571593891</v>
      </c>
      <c r="AK198" s="249">
        <v>14.0918649783754</v>
      </c>
      <c r="AL198" s="249">
        <v>78.152865845492798</v>
      </c>
      <c r="AM198" s="249">
        <v>16.313159830229001</v>
      </c>
      <c r="AN198" s="249">
        <v>54.842290003128099</v>
      </c>
      <c r="AO198" s="249">
        <v>65.928894762846298</v>
      </c>
      <c r="AP198" s="249">
        <v>69.752277337301507</v>
      </c>
      <c r="AQ198" s="249">
        <v>38.529130172899201</v>
      </c>
      <c r="AR198" s="249">
        <v>53.439117507072602</v>
      </c>
      <c r="AS198" s="249">
        <v>23.310575842364699</v>
      </c>
      <c r="AT198" s="241">
        <v>8.4005885081912801</v>
      </c>
    </row>
    <row r="199" spans="1:46" x14ac:dyDescent="0.4">
      <c r="A199" s="251" t="s">
        <v>864</v>
      </c>
      <c r="B199" s="252">
        <v>887</v>
      </c>
      <c r="C199" s="253" t="s">
        <v>865</v>
      </c>
      <c r="D199" s="253" t="s">
        <v>866</v>
      </c>
      <c r="E199" s="253" t="s">
        <v>867</v>
      </c>
      <c r="F199" s="251">
        <v>1</v>
      </c>
      <c r="G199" s="254" t="e">
        <f t="shared" si="8"/>
        <v>#N/A</v>
      </c>
      <c r="H199" s="254" t="e">
        <f>G199*1000</f>
        <v>#N/A</v>
      </c>
      <c r="I199" s="251">
        <v>2.5739999999999998</v>
      </c>
      <c r="J199" s="251">
        <v>32.947000000000003</v>
      </c>
      <c r="K199" s="251">
        <v>385</v>
      </c>
      <c r="L199" s="251">
        <v>22.1</v>
      </c>
      <c r="M199" s="251">
        <v>41.9</v>
      </c>
      <c r="N199" s="254">
        <v>13553.281999999999</v>
      </c>
      <c r="O199" s="254">
        <v>13278.933000000001</v>
      </c>
      <c r="P199" s="241">
        <v>6.01781177429939</v>
      </c>
      <c r="Q199" s="241">
        <v>14.779674768074599</v>
      </c>
      <c r="R199" s="241">
        <v>40.672126500429897</v>
      </c>
      <c r="S199" s="241">
        <v>62.936689430648599</v>
      </c>
      <c r="T199" s="241">
        <v>16.169426711552202</v>
      </c>
      <c r="U199" s="241">
        <v>25.892451732355301</v>
      </c>
      <c r="V199" s="241">
        <v>59.327873499570103</v>
      </c>
      <c r="W199" s="241">
        <v>22.264562930218698</v>
      </c>
      <c r="X199" s="241">
        <v>50.5260865965897</v>
      </c>
      <c r="Y199" s="241">
        <v>54.921981258856697</v>
      </c>
      <c r="Z199" s="241">
        <v>56.695079464885303</v>
      </c>
      <c r="AA199" s="241">
        <v>28.261523666371001</v>
      </c>
      <c r="AB199" s="241">
        <v>34.430516534666701</v>
      </c>
      <c r="AC199" s="241">
        <v>35.6715074621778</v>
      </c>
      <c r="AD199" s="241">
        <v>8.8017869029803997</v>
      </c>
      <c r="AE199" s="241">
        <v>2.63279403468474</v>
      </c>
      <c r="AF199" s="241">
        <v>5.8889746638528901</v>
      </c>
      <c r="AG199" s="241">
        <v>14.469890013000301</v>
      </c>
      <c r="AH199" s="241">
        <v>39.847041927239196</v>
      </c>
      <c r="AI199" s="241">
        <v>61.7694358424732</v>
      </c>
      <c r="AJ199" s="241">
        <v>15.843946196580699</v>
      </c>
      <c r="AK199" s="241">
        <v>25.377151914238901</v>
      </c>
      <c r="AL199" s="241">
        <v>60.152958072760804</v>
      </c>
      <c r="AM199" s="241">
        <v>21.922393915234</v>
      </c>
      <c r="AN199" s="241">
        <v>49.990771095840302</v>
      </c>
      <c r="AO199" s="241">
        <v>55.2057081694742</v>
      </c>
      <c r="AP199" s="241">
        <v>57.208534752001498</v>
      </c>
      <c r="AQ199" s="241">
        <v>28.068377180606301</v>
      </c>
      <c r="AR199" s="241">
        <v>35.286140836767501</v>
      </c>
      <c r="AS199" s="241">
        <v>10.1621869769205</v>
      </c>
      <c r="AT199" s="249">
        <v>2.94442332075928</v>
      </c>
    </row>
    <row r="200" spans="1:46" x14ac:dyDescent="0.4">
      <c r="A200" s="247" t="s">
        <v>868</v>
      </c>
      <c r="B200" s="248">
        <v>894</v>
      </c>
      <c r="C200" s="249" t="s">
        <v>869</v>
      </c>
      <c r="D200" s="249" t="s">
        <v>551</v>
      </c>
      <c r="E200" s="249" t="s">
        <v>870</v>
      </c>
      <c r="F200" s="247">
        <v>1</v>
      </c>
      <c r="G200" s="250" t="e">
        <f t="shared" si="8"/>
        <v>#N/A</v>
      </c>
      <c r="H200" s="250" t="e">
        <f>G200*1000</f>
        <v>#N/A</v>
      </c>
      <c r="I200" s="247">
        <v>3.052</v>
      </c>
      <c r="J200" s="247">
        <v>40.470999999999997</v>
      </c>
      <c r="K200" s="247">
        <v>224</v>
      </c>
      <c r="L200" s="247">
        <v>21.4</v>
      </c>
      <c r="M200" s="247">
        <v>64</v>
      </c>
      <c r="N200" s="250">
        <v>8093.6469999999999</v>
      </c>
      <c r="O200" s="250">
        <v>8118.12</v>
      </c>
      <c r="P200" s="249">
        <v>7.3651099436385099</v>
      </c>
      <c r="Q200" s="249">
        <v>17.7713829130428</v>
      </c>
      <c r="R200" s="249">
        <v>46.310396289830798</v>
      </c>
      <c r="S200" s="249">
        <v>66.401994057808594</v>
      </c>
      <c r="T200" s="249">
        <v>18.273986992514001</v>
      </c>
      <c r="U200" s="249">
        <v>28.539013376787999</v>
      </c>
      <c r="V200" s="249">
        <v>53.689603710169202</v>
      </c>
      <c r="W200" s="249">
        <v>20.091597767977799</v>
      </c>
      <c r="X200" s="249">
        <v>46.579125578370302</v>
      </c>
      <c r="Y200" s="249">
        <v>49.981015974628001</v>
      </c>
      <c r="Z200" s="249">
        <v>51.148573689957097</v>
      </c>
      <c r="AA200" s="249">
        <v>26.4875278103925</v>
      </c>
      <c r="AB200" s="249">
        <v>31.056975921979301</v>
      </c>
      <c r="AC200" s="249">
        <v>32.058811065024202</v>
      </c>
      <c r="AD200" s="249">
        <v>7.1104781317989296</v>
      </c>
      <c r="AE200" s="249">
        <v>2.5410300202121499</v>
      </c>
      <c r="AF200" s="249">
        <v>7.1980704892265699</v>
      </c>
      <c r="AG200" s="249">
        <v>17.3987450296374</v>
      </c>
      <c r="AH200" s="249">
        <v>45.5206008287633</v>
      </c>
      <c r="AI200" s="249">
        <v>65.524468719358694</v>
      </c>
      <c r="AJ200" s="249">
        <v>17.982094376530501</v>
      </c>
      <c r="AK200" s="249">
        <v>28.1218557991259</v>
      </c>
      <c r="AL200" s="249">
        <v>54.4793991712367</v>
      </c>
      <c r="AM200" s="249">
        <v>20.003867890595401</v>
      </c>
      <c r="AN200" s="249">
        <v>45.987839549058101</v>
      </c>
      <c r="AO200" s="249">
        <v>49.680714254039103</v>
      </c>
      <c r="AP200" s="249">
        <v>51.204268968677503</v>
      </c>
      <c r="AQ200" s="249">
        <v>25.983971658462799</v>
      </c>
      <c r="AR200" s="249">
        <v>31.200401078082098</v>
      </c>
      <c r="AS200" s="249">
        <v>8.4915596221785297</v>
      </c>
      <c r="AT200" s="241">
        <v>3.2751302025592102</v>
      </c>
    </row>
    <row r="201" spans="1:46" x14ac:dyDescent="0.4">
      <c r="A201" s="251" t="s">
        <v>871</v>
      </c>
      <c r="B201" s="252">
        <v>716</v>
      </c>
      <c r="C201" s="253" t="s">
        <v>872</v>
      </c>
      <c r="D201" s="253" t="s">
        <v>873</v>
      </c>
      <c r="E201" s="253" t="s">
        <v>874</v>
      </c>
      <c r="F201" s="251">
        <v>1</v>
      </c>
      <c r="G201" s="254" t="e">
        <f t="shared" si="8"/>
        <v>#N/A</v>
      </c>
      <c r="H201" s="254" t="e">
        <f>G201*1000</f>
        <v>#N/A</v>
      </c>
      <c r="I201" s="251">
        <v>2.2050000000000001</v>
      </c>
      <c r="J201" s="251">
        <v>35.715000000000003</v>
      </c>
      <c r="K201" s="251">
        <v>443</v>
      </c>
      <c r="L201" s="251">
        <v>23.5</v>
      </c>
      <c r="M201" s="251">
        <v>70.7</v>
      </c>
      <c r="N201" s="254">
        <v>7687.5569999999998</v>
      </c>
      <c r="O201" s="254">
        <v>7915.1940000000004</v>
      </c>
      <c r="P201" s="253">
        <v>6.8058292120630801</v>
      </c>
      <c r="Q201" s="253">
        <v>16.3471568405932</v>
      </c>
      <c r="R201" s="253">
        <v>42.304779008467797</v>
      </c>
      <c r="S201" s="253">
        <v>63.330769449904601</v>
      </c>
      <c r="T201" s="253">
        <v>16.547740719190799</v>
      </c>
      <c r="U201" s="253">
        <v>25.9576221678747</v>
      </c>
      <c r="V201" s="253">
        <v>57.695220991532203</v>
      </c>
      <c r="W201" s="253">
        <v>21.025990441436701</v>
      </c>
      <c r="X201" s="253">
        <v>50.140298146732398</v>
      </c>
      <c r="Y201" s="253">
        <v>53.655966388281698</v>
      </c>
      <c r="Z201" s="253">
        <v>54.990161373762803</v>
      </c>
      <c r="AA201" s="253">
        <v>29.114307705295701</v>
      </c>
      <c r="AB201" s="253">
        <v>33.964170932326098</v>
      </c>
      <c r="AC201" s="253">
        <v>34.886310436462502</v>
      </c>
      <c r="AD201" s="253">
        <v>7.5549228447997203</v>
      </c>
      <c r="AE201" s="253">
        <v>2.70505961776934</v>
      </c>
      <c r="AF201" s="253">
        <v>6.5546466706943596</v>
      </c>
      <c r="AG201" s="253">
        <v>15.7669540380185</v>
      </c>
      <c r="AH201" s="253">
        <v>40.916167057939496</v>
      </c>
      <c r="AI201" s="253">
        <v>61.697868681424602</v>
      </c>
      <c r="AJ201" s="253">
        <v>16.018129182936001</v>
      </c>
      <c r="AK201" s="253">
        <v>25.1492130199209</v>
      </c>
      <c r="AL201" s="253">
        <v>59.083832942060504</v>
      </c>
      <c r="AM201" s="253">
        <v>20.781701623485201</v>
      </c>
      <c r="AN201" s="253">
        <v>50.551332033049299</v>
      </c>
      <c r="AO201" s="253">
        <v>54.343620636461999</v>
      </c>
      <c r="AP201" s="253">
        <v>55.867297756694299</v>
      </c>
      <c r="AQ201" s="253">
        <v>29.769630409564201</v>
      </c>
      <c r="AR201" s="253">
        <v>35.085596133209101</v>
      </c>
      <c r="AS201" s="253">
        <v>8.5325009090111994</v>
      </c>
      <c r="AT201" s="249">
        <v>3.2165351853662698</v>
      </c>
    </row>
  </sheetData>
  <autoFilter ref="A4:AS201" xr:uid="{00000000-0009-0000-0000-000012000000}"/>
  <conditionalFormatting sqref="D5:AS201">
    <cfRule type="expression" dxfId="0" priority="1">
      <formula>ISERROR(D5)="TRUE"</formula>
    </cfRule>
  </conditionalFormatting>
  <hyperlinks>
    <hyperlink ref="I2" r:id="rId1" display="Source:" xr:uid="{00000000-0004-0000-1200-000000000000}"/>
    <hyperlink ref="G2" r:id="rId2" display="Source:" xr:uid="{00000000-0004-0000-1200-000001000000}"/>
    <hyperlink ref="P2" r:id="rId3" display="Source:" xr:uid="{00000000-0004-0000-1200-000002000000}"/>
    <hyperlink ref="Q2" r:id="rId4" display="Source:" xr:uid="{00000000-0004-0000-1200-000003000000}"/>
    <hyperlink ref="U2" r:id="rId5" display="Source:" xr:uid="{00000000-0004-0000-1200-000004000000}"/>
    <hyperlink ref="V2" r:id="rId6" display="Source:" xr:uid="{00000000-0004-0000-1200-000005000000}"/>
    <hyperlink ref="W2" r:id="rId7" display="Source:" xr:uid="{00000000-0004-0000-1200-000006000000}"/>
    <hyperlink ref="X2" r:id="rId8" display="Source:" xr:uid="{00000000-0004-0000-1200-000007000000}"/>
    <hyperlink ref="Y2" r:id="rId9" display="Source:" xr:uid="{00000000-0004-0000-1200-000008000000}"/>
    <hyperlink ref="AA2" r:id="rId10" display="Source:" xr:uid="{00000000-0004-0000-1200-000009000000}"/>
    <hyperlink ref="AD2" r:id="rId11" display="Source:" xr:uid="{00000000-0004-0000-1200-00000A000000}"/>
    <hyperlink ref="N2" r:id="rId12" display="Source:" xr:uid="{00000000-0004-0000-1200-00000B000000}"/>
    <hyperlink ref="O2" r:id="rId13" display="Source:" xr:uid="{00000000-0004-0000-1200-00000C000000}"/>
    <hyperlink ref="AF2" r:id="rId14" display="Source:" xr:uid="{00000000-0004-0000-1200-00000D000000}"/>
    <hyperlink ref="AG2" r:id="rId15" display="Source:" xr:uid="{00000000-0004-0000-1200-00000E000000}"/>
    <hyperlink ref="AJ2" r:id="rId16" display="Source:" xr:uid="{00000000-0004-0000-1200-00000F000000}"/>
    <hyperlink ref="AK2" r:id="rId17" display="Source:" xr:uid="{00000000-0004-0000-1200-000010000000}"/>
    <hyperlink ref="AL2" r:id="rId18" display="Source:" xr:uid="{00000000-0004-0000-1200-000011000000}"/>
    <hyperlink ref="AM2" r:id="rId19" display="Source:" xr:uid="{00000000-0004-0000-1200-000012000000}"/>
    <hyperlink ref="AN2" r:id="rId20" display="Source:" xr:uid="{00000000-0004-0000-1200-000013000000}"/>
    <hyperlink ref="AO2" r:id="rId21" display="Source:" xr:uid="{00000000-0004-0000-1200-000014000000}"/>
    <hyperlink ref="AQ2" r:id="rId22" display="Source:" xr:uid="{00000000-0004-0000-1200-000015000000}"/>
    <hyperlink ref="AS2" r:id="rId23" display="Source:" xr:uid="{00000000-0004-0000-1200-000016000000}"/>
    <hyperlink ref="M2" r:id="rId24" xr:uid="{00000000-0004-0000-1200-000017000000}"/>
    <hyperlink ref="L2" r:id="rId25" xr:uid="{00000000-0004-0000-1200-000018000000}"/>
    <hyperlink ref="J2" r:id="rId26" xr:uid="{00000000-0004-0000-1200-000019000000}"/>
    <hyperlink ref="K2" r:id="rId27" xr:uid="{00000000-0004-0000-1200-00001A000000}"/>
    <hyperlink ref="H2" r:id="rId28" display="Source:" xr:uid="{00000000-0004-0000-1200-00001B000000}"/>
    <hyperlink ref="F2" r:id="rId29" xr:uid="{00000000-0004-0000-1200-00001C000000}"/>
  </hyperlinks>
  <pageMargins left="0.7" right="0.7" top="0.75" bottom="0.75" header="0.3" footer="0.3"/>
  <pageSetup orientation="portrait" r:id="rId3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
  <sheetViews>
    <sheetView zoomScaleNormal="100" workbookViewId="0">
      <selection activeCell="E11" sqref="E11"/>
    </sheetView>
  </sheetViews>
  <sheetFormatPr defaultColWidth="8.84375" defaultRowHeight="14.6" x14ac:dyDescent="0.4"/>
  <sheetData>
    <row r="2" spans="1:1" x14ac:dyDescent="0.4">
      <c r="A2" s="563"/>
    </row>
  </sheetData>
  <pageMargins left="0.7" right="0.7" top="0.75" bottom="0.75" header="0.3" footer="0.3"/>
  <pageSetup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36">
    <tabColor theme="0" tint="-0.499984740745262"/>
  </sheetPr>
  <dimension ref="A1:BS292"/>
  <sheetViews>
    <sheetView workbookViewId="0">
      <selection activeCell="H26" sqref="H26"/>
    </sheetView>
  </sheetViews>
  <sheetFormatPr defaultColWidth="8.84375" defaultRowHeight="14.6" x14ac:dyDescent="0.4"/>
  <cols>
    <col min="1" max="1" width="5" customWidth="1"/>
    <col min="2" max="2" width="14.4609375" customWidth="1"/>
    <col min="3" max="3" width="45" customWidth="1"/>
    <col min="4" max="4" width="6.4609375" customWidth="1"/>
    <col min="5" max="5" width="7.3046875" customWidth="1"/>
    <col min="6" max="71" width="10.07421875" customWidth="1"/>
    <col min="257" max="257" width="5" customWidth="1"/>
    <col min="258" max="258" width="14.4609375" customWidth="1"/>
    <col min="259" max="259" width="45" customWidth="1"/>
    <col min="260" max="260" width="6.4609375" customWidth="1"/>
    <col min="261" max="261" width="7.3046875" customWidth="1"/>
    <col min="262" max="327" width="10.07421875" customWidth="1"/>
    <col min="513" max="513" width="5" customWidth="1"/>
    <col min="514" max="514" width="14.4609375" customWidth="1"/>
    <col min="515" max="515" width="45" customWidth="1"/>
    <col min="516" max="516" width="6.4609375" customWidth="1"/>
    <col min="517" max="517" width="7.3046875" customWidth="1"/>
    <col min="518" max="583" width="10.07421875" customWidth="1"/>
    <col min="769" max="769" width="5" customWidth="1"/>
    <col min="770" max="770" width="14.4609375" customWidth="1"/>
    <col min="771" max="771" width="45" customWidth="1"/>
    <col min="772" max="772" width="6.4609375" customWidth="1"/>
    <col min="773" max="773" width="7.3046875" customWidth="1"/>
    <col min="774" max="839" width="10.07421875" customWidth="1"/>
    <col min="1025" max="1025" width="5" customWidth="1"/>
    <col min="1026" max="1026" width="14.4609375" customWidth="1"/>
    <col min="1027" max="1027" width="45" customWidth="1"/>
    <col min="1028" max="1028" width="6.4609375" customWidth="1"/>
    <col min="1029" max="1029" width="7.3046875" customWidth="1"/>
    <col min="1030" max="1095" width="10.07421875" customWidth="1"/>
    <col min="1281" max="1281" width="5" customWidth="1"/>
    <col min="1282" max="1282" width="14.4609375" customWidth="1"/>
    <col min="1283" max="1283" width="45" customWidth="1"/>
    <col min="1284" max="1284" width="6.4609375" customWidth="1"/>
    <col min="1285" max="1285" width="7.3046875" customWidth="1"/>
    <col min="1286" max="1351" width="10.07421875" customWidth="1"/>
    <col min="1537" max="1537" width="5" customWidth="1"/>
    <col min="1538" max="1538" width="14.4609375" customWidth="1"/>
    <col min="1539" max="1539" width="45" customWidth="1"/>
    <col min="1540" max="1540" width="6.4609375" customWidth="1"/>
    <col min="1541" max="1541" width="7.3046875" customWidth="1"/>
    <col min="1542" max="1607" width="10.07421875" customWidth="1"/>
    <col min="1793" max="1793" width="5" customWidth="1"/>
    <col min="1794" max="1794" width="14.4609375" customWidth="1"/>
    <col min="1795" max="1795" width="45" customWidth="1"/>
    <col min="1796" max="1796" width="6.4609375" customWidth="1"/>
    <col min="1797" max="1797" width="7.3046875" customWidth="1"/>
    <col min="1798" max="1863" width="10.07421875" customWidth="1"/>
    <col min="2049" max="2049" width="5" customWidth="1"/>
    <col min="2050" max="2050" width="14.4609375" customWidth="1"/>
    <col min="2051" max="2051" width="45" customWidth="1"/>
    <col min="2052" max="2052" width="6.4609375" customWidth="1"/>
    <col min="2053" max="2053" width="7.3046875" customWidth="1"/>
    <col min="2054" max="2119" width="10.07421875" customWidth="1"/>
    <col min="2305" max="2305" width="5" customWidth="1"/>
    <col min="2306" max="2306" width="14.4609375" customWidth="1"/>
    <col min="2307" max="2307" width="45" customWidth="1"/>
    <col min="2308" max="2308" width="6.4609375" customWidth="1"/>
    <col min="2309" max="2309" width="7.3046875" customWidth="1"/>
    <col min="2310" max="2375" width="10.07421875" customWidth="1"/>
    <col min="2561" max="2561" width="5" customWidth="1"/>
    <col min="2562" max="2562" width="14.4609375" customWidth="1"/>
    <col min="2563" max="2563" width="45" customWidth="1"/>
    <col min="2564" max="2564" width="6.4609375" customWidth="1"/>
    <col min="2565" max="2565" width="7.3046875" customWidth="1"/>
    <col min="2566" max="2631" width="10.07421875" customWidth="1"/>
    <col min="2817" max="2817" width="5" customWidth="1"/>
    <col min="2818" max="2818" width="14.4609375" customWidth="1"/>
    <col min="2819" max="2819" width="45" customWidth="1"/>
    <col min="2820" max="2820" width="6.4609375" customWidth="1"/>
    <col min="2821" max="2821" width="7.3046875" customWidth="1"/>
    <col min="2822" max="2887" width="10.07421875" customWidth="1"/>
    <col min="3073" max="3073" width="5" customWidth="1"/>
    <col min="3074" max="3074" width="14.4609375" customWidth="1"/>
    <col min="3075" max="3075" width="45" customWidth="1"/>
    <col min="3076" max="3076" width="6.4609375" customWidth="1"/>
    <col min="3077" max="3077" width="7.3046875" customWidth="1"/>
    <col min="3078" max="3143" width="10.07421875" customWidth="1"/>
    <col min="3329" max="3329" width="5" customWidth="1"/>
    <col min="3330" max="3330" width="14.4609375" customWidth="1"/>
    <col min="3331" max="3331" width="45" customWidth="1"/>
    <col min="3332" max="3332" width="6.4609375" customWidth="1"/>
    <col min="3333" max="3333" width="7.3046875" customWidth="1"/>
    <col min="3334" max="3399" width="10.07421875" customWidth="1"/>
    <col min="3585" max="3585" width="5" customWidth="1"/>
    <col min="3586" max="3586" width="14.4609375" customWidth="1"/>
    <col min="3587" max="3587" width="45" customWidth="1"/>
    <col min="3588" max="3588" width="6.4609375" customWidth="1"/>
    <col min="3589" max="3589" width="7.3046875" customWidth="1"/>
    <col min="3590" max="3655" width="10.07421875" customWidth="1"/>
    <col min="3841" max="3841" width="5" customWidth="1"/>
    <col min="3842" max="3842" width="14.4609375" customWidth="1"/>
    <col min="3843" max="3843" width="45" customWidth="1"/>
    <col min="3844" max="3844" width="6.4609375" customWidth="1"/>
    <col min="3845" max="3845" width="7.3046875" customWidth="1"/>
    <col min="3846" max="3911" width="10.07421875" customWidth="1"/>
    <col min="4097" max="4097" width="5" customWidth="1"/>
    <col min="4098" max="4098" width="14.4609375" customWidth="1"/>
    <col min="4099" max="4099" width="45" customWidth="1"/>
    <col min="4100" max="4100" width="6.4609375" customWidth="1"/>
    <col min="4101" max="4101" width="7.3046875" customWidth="1"/>
    <col min="4102" max="4167" width="10.07421875" customWidth="1"/>
    <col min="4353" max="4353" width="5" customWidth="1"/>
    <col min="4354" max="4354" width="14.4609375" customWidth="1"/>
    <col min="4355" max="4355" width="45" customWidth="1"/>
    <col min="4356" max="4356" width="6.4609375" customWidth="1"/>
    <col min="4357" max="4357" width="7.3046875" customWidth="1"/>
    <col min="4358" max="4423" width="10.07421875" customWidth="1"/>
    <col min="4609" max="4609" width="5" customWidth="1"/>
    <col min="4610" max="4610" width="14.4609375" customWidth="1"/>
    <col min="4611" max="4611" width="45" customWidth="1"/>
    <col min="4612" max="4612" width="6.4609375" customWidth="1"/>
    <col min="4613" max="4613" width="7.3046875" customWidth="1"/>
    <col min="4614" max="4679" width="10.07421875" customWidth="1"/>
    <col min="4865" max="4865" width="5" customWidth="1"/>
    <col min="4866" max="4866" width="14.4609375" customWidth="1"/>
    <col min="4867" max="4867" width="45" customWidth="1"/>
    <col min="4868" max="4868" width="6.4609375" customWidth="1"/>
    <col min="4869" max="4869" width="7.3046875" customWidth="1"/>
    <col min="4870" max="4935" width="10.07421875" customWidth="1"/>
    <col min="5121" max="5121" width="5" customWidth="1"/>
    <col min="5122" max="5122" width="14.4609375" customWidth="1"/>
    <col min="5123" max="5123" width="45" customWidth="1"/>
    <col min="5124" max="5124" width="6.4609375" customWidth="1"/>
    <col min="5125" max="5125" width="7.3046875" customWidth="1"/>
    <col min="5126" max="5191" width="10.07421875" customWidth="1"/>
    <col min="5377" max="5377" width="5" customWidth="1"/>
    <col min="5378" max="5378" width="14.4609375" customWidth="1"/>
    <col min="5379" max="5379" width="45" customWidth="1"/>
    <col min="5380" max="5380" width="6.4609375" customWidth="1"/>
    <col min="5381" max="5381" width="7.3046875" customWidth="1"/>
    <col min="5382" max="5447" width="10.07421875" customWidth="1"/>
    <col min="5633" max="5633" width="5" customWidth="1"/>
    <col min="5634" max="5634" width="14.4609375" customWidth="1"/>
    <col min="5635" max="5635" width="45" customWidth="1"/>
    <col min="5636" max="5636" width="6.4609375" customWidth="1"/>
    <col min="5637" max="5637" width="7.3046875" customWidth="1"/>
    <col min="5638" max="5703" width="10.07421875" customWidth="1"/>
    <col min="5889" max="5889" width="5" customWidth="1"/>
    <col min="5890" max="5890" width="14.4609375" customWidth="1"/>
    <col min="5891" max="5891" width="45" customWidth="1"/>
    <col min="5892" max="5892" width="6.4609375" customWidth="1"/>
    <col min="5893" max="5893" width="7.3046875" customWidth="1"/>
    <col min="5894" max="5959" width="10.07421875" customWidth="1"/>
    <col min="6145" max="6145" width="5" customWidth="1"/>
    <col min="6146" max="6146" width="14.4609375" customWidth="1"/>
    <col min="6147" max="6147" width="45" customWidth="1"/>
    <col min="6148" max="6148" width="6.4609375" customWidth="1"/>
    <col min="6149" max="6149" width="7.3046875" customWidth="1"/>
    <col min="6150" max="6215" width="10.07421875" customWidth="1"/>
    <col min="6401" max="6401" width="5" customWidth="1"/>
    <col min="6402" max="6402" width="14.4609375" customWidth="1"/>
    <col min="6403" max="6403" width="45" customWidth="1"/>
    <col min="6404" max="6404" width="6.4609375" customWidth="1"/>
    <col min="6405" max="6405" width="7.3046875" customWidth="1"/>
    <col min="6406" max="6471" width="10.07421875" customWidth="1"/>
    <col min="6657" max="6657" width="5" customWidth="1"/>
    <col min="6658" max="6658" width="14.4609375" customWidth="1"/>
    <col min="6659" max="6659" width="45" customWidth="1"/>
    <col min="6660" max="6660" width="6.4609375" customWidth="1"/>
    <col min="6661" max="6661" width="7.3046875" customWidth="1"/>
    <col min="6662" max="6727" width="10.07421875" customWidth="1"/>
    <col min="6913" max="6913" width="5" customWidth="1"/>
    <col min="6914" max="6914" width="14.4609375" customWidth="1"/>
    <col min="6915" max="6915" width="45" customWidth="1"/>
    <col min="6916" max="6916" width="6.4609375" customWidth="1"/>
    <col min="6917" max="6917" width="7.3046875" customWidth="1"/>
    <col min="6918" max="6983" width="10.07421875" customWidth="1"/>
    <col min="7169" max="7169" width="5" customWidth="1"/>
    <col min="7170" max="7170" width="14.4609375" customWidth="1"/>
    <col min="7171" max="7171" width="45" customWidth="1"/>
    <col min="7172" max="7172" width="6.4609375" customWidth="1"/>
    <col min="7173" max="7173" width="7.3046875" customWidth="1"/>
    <col min="7174" max="7239" width="10.07421875" customWidth="1"/>
    <col min="7425" max="7425" width="5" customWidth="1"/>
    <col min="7426" max="7426" width="14.4609375" customWidth="1"/>
    <col min="7427" max="7427" width="45" customWidth="1"/>
    <col min="7428" max="7428" width="6.4609375" customWidth="1"/>
    <col min="7429" max="7429" width="7.3046875" customWidth="1"/>
    <col min="7430" max="7495" width="10.07421875" customWidth="1"/>
    <col min="7681" max="7681" width="5" customWidth="1"/>
    <col min="7682" max="7682" width="14.4609375" customWidth="1"/>
    <col min="7683" max="7683" width="45" customWidth="1"/>
    <col min="7684" max="7684" width="6.4609375" customWidth="1"/>
    <col min="7685" max="7685" width="7.3046875" customWidth="1"/>
    <col min="7686" max="7751" width="10.07421875" customWidth="1"/>
    <col min="7937" max="7937" width="5" customWidth="1"/>
    <col min="7938" max="7938" width="14.4609375" customWidth="1"/>
    <col min="7939" max="7939" width="45" customWidth="1"/>
    <col min="7940" max="7940" width="6.4609375" customWidth="1"/>
    <col min="7941" max="7941" width="7.3046875" customWidth="1"/>
    <col min="7942" max="8007" width="10.07421875" customWidth="1"/>
    <col min="8193" max="8193" width="5" customWidth="1"/>
    <col min="8194" max="8194" width="14.4609375" customWidth="1"/>
    <col min="8195" max="8195" width="45" customWidth="1"/>
    <col min="8196" max="8196" width="6.4609375" customWidth="1"/>
    <col min="8197" max="8197" width="7.3046875" customWidth="1"/>
    <col min="8198" max="8263" width="10.07421875" customWidth="1"/>
    <col min="8449" max="8449" width="5" customWidth="1"/>
    <col min="8450" max="8450" width="14.4609375" customWidth="1"/>
    <col min="8451" max="8451" width="45" customWidth="1"/>
    <col min="8452" max="8452" width="6.4609375" customWidth="1"/>
    <col min="8453" max="8453" width="7.3046875" customWidth="1"/>
    <col min="8454" max="8519" width="10.07421875" customWidth="1"/>
    <col min="8705" max="8705" width="5" customWidth="1"/>
    <col min="8706" max="8706" width="14.4609375" customWidth="1"/>
    <col min="8707" max="8707" width="45" customWidth="1"/>
    <col min="8708" max="8708" width="6.4609375" customWidth="1"/>
    <col min="8709" max="8709" width="7.3046875" customWidth="1"/>
    <col min="8710" max="8775" width="10.07421875" customWidth="1"/>
    <col min="8961" max="8961" width="5" customWidth="1"/>
    <col min="8962" max="8962" width="14.4609375" customWidth="1"/>
    <col min="8963" max="8963" width="45" customWidth="1"/>
    <col min="8964" max="8964" width="6.4609375" customWidth="1"/>
    <col min="8965" max="8965" width="7.3046875" customWidth="1"/>
    <col min="8966" max="9031" width="10.07421875" customWidth="1"/>
    <col min="9217" max="9217" width="5" customWidth="1"/>
    <col min="9218" max="9218" width="14.4609375" customWidth="1"/>
    <col min="9219" max="9219" width="45" customWidth="1"/>
    <col min="9220" max="9220" width="6.4609375" customWidth="1"/>
    <col min="9221" max="9221" width="7.3046875" customWidth="1"/>
    <col min="9222" max="9287" width="10.07421875" customWidth="1"/>
    <col min="9473" max="9473" width="5" customWidth="1"/>
    <col min="9474" max="9474" width="14.4609375" customWidth="1"/>
    <col min="9475" max="9475" width="45" customWidth="1"/>
    <col min="9476" max="9476" width="6.4609375" customWidth="1"/>
    <col min="9477" max="9477" width="7.3046875" customWidth="1"/>
    <col min="9478" max="9543" width="10.07421875" customWidth="1"/>
    <col min="9729" max="9729" width="5" customWidth="1"/>
    <col min="9730" max="9730" width="14.4609375" customWidth="1"/>
    <col min="9731" max="9731" width="45" customWidth="1"/>
    <col min="9732" max="9732" width="6.4609375" customWidth="1"/>
    <col min="9733" max="9733" width="7.3046875" customWidth="1"/>
    <col min="9734" max="9799" width="10.07421875" customWidth="1"/>
    <col min="9985" max="9985" width="5" customWidth="1"/>
    <col min="9986" max="9986" width="14.4609375" customWidth="1"/>
    <col min="9987" max="9987" width="45" customWidth="1"/>
    <col min="9988" max="9988" width="6.4609375" customWidth="1"/>
    <col min="9989" max="9989" width="7.3046875" customWidth="1"/>
    <col min="9990" max="10055" width="10.07421875" customWidth="1"/>
    <col min="10241" max="10241" width="5" customWidth="1"/>
    <col min="10242" max="10242" width="14.4609375" customWidth="1"/>
    <col min="10243" max="10243" width="45" customWidth="1"/>
    <col min="10244" max="10244" width="6.4609375" customWidth="1"/>
    <col min="10245" max="10245" width="7.3046875" customWidth="1"/>
    <col min="10246" max="10311" width="10.07421875" customWidth="1"/>
    <col min="10497" max="10497" width="5" customWidth="1"/>
    <col min="10498" max="10498" width="14.4609375" customWidth="1"/>
    <col min="10499" max="10499" width="45" customWidth="1"/>
    <col min="10500" max="10500" width="6.4609375" customWidth="1"/>
    <col min="10501" max="10501" width="7.3046875" customWidth="1"/>
    <col min="10502" max="10567" width="10.07421875" customWidth="1"/>
    <col min="10753" max="10753" width="5" customWidth="1"/>
    <col min="10754" max="10754" width="14.4609375" customWidth="1"/>
    <col min="10755" max="10755" width="45" customWidth="1"/>
    <col min="10756" max="10756" width="6.4609375" customWidth="1"/>
    <col min="10757" max="10757" width="7.3046875" customWidth="1"/>
    <col min="10758" max="10823" width="10.07421875" customWidth="1"/>
    <col min="11009" max="11009" width="5" customWidth="1"/>
    <col min="11010" max="11010" width="14.4609375" customWidth="1"/>
    <col min="11011" max="11011" width="45" customWidth="1"/>
    <col min="11012" max="11012" width="6.4609375" customWidth="1"/>
    <col min="11013" max="11013" width="7.3046875" customWidth="1"/>
    <col min="11014" max="11079" width="10.07421875" customWidth="1"/>
    <col min="11265" max="11265" width="5" customWidth="1"/>
    <col min="11266" max="11266" width="14.4609375" customWidth="1"/>
    <col min="11267" max="11267" width="45" customWidth="1"/>
    <col min="11268" max="11268" width="6.4609375" customWidth="1"/>
    <col min="11269" max="11269" width="7.3046875" customWidth="1"/>
    <col min="11270" max="11335" width="10.07421875" customWidth="1"/>
    <col min="11521" max="11521" width="5" customWidth="1"/>
    <col min="11522" max="11522" width="14.4609375" customWidth="1"/>
    <col min="11523" max="11523" width="45" customWidth="1"/>
    <col min="11524" max="11524" width="6.4609375" customWidth="1"/>
    <col min="11525" max="11525" width="7.3046875" customWidth="1"/>
    <col min="11526" max="11591" width="10.07421875" customWidth="1"/>
    <col min="11777" max="11777" width="5" customWidth="1"/>
    <col min="11778" max="11778" width="14.4609375" customWidth="1"/>
    <col min="11779" max="11779" width="45" customWidth="1"/>
    <col min="11780" max="11780" width="6.4609375" customWidth="1"/>
    <col min="11781" max="11781" width="7.3046875" customWidth="1"/>
    <col min="11782" max="11847" width="10.07421875" customWidth="1"/>
    <col min="12033" max="12033" width="5" customWidth="1"/>
    <col min="12034" max="12034" width="14.4609375" customWidth="1"/>
    <col min="12035" max="12035" width="45" customWidth="1"/>
    <col min="12036" max="12036" width="6.4609375" customWidth="1"/>
    <col min="12037" max="12037" width="7.3046875" customWidth="1"/>
    <col min="12038" max="12103" width="10.07421875" customWidth="1"/>
    <col min="12289" max="12289" width="5" customWidth="1"/>
    <col min="12290" max="12290" width="14.4609375" customWidth="1"/>
    <col min="12291" max="12291" width="45" customWidth="1"/>
    <col min="12292" max="12292" width="6.4609375" customWidth="1"/>
    <col min="12293" max="12293" width="7.3046875" customWidth="1"/>
    <col min="12294" max="12359" width="10.07421875" customWidth="1"/>
    <col min="12545" max="12545" width="5" customWidth="1"/>
    <col min="12546" max="12546" width="14.4609375" customWidth="1"/>
    <col min="12547" max="12547" width="45" customWidth="1"/>
    <col min="12548" max="12548" width="6.4609375" customWidth="1"/>
    <col min="12549" max="12549" width="7.3046875" customWidth="1"/>
    <col min="12550" max="12615" width="10.07421875" customWidth="1"/>
    <col min="12801" max="12801" width="5" customWidth="1"/>
    <col min="12802" max="12802" width="14.4609375" customWidth="1"/>
    <col min="12803" max="12803" width="45" customWidth="1"/>
    <col min="12804" max="12804" width="6.4609375" customWidth="1"/>
    <col min="12805" max="12805" width="7.3046875" customWidth="1"/>
    <col min="12806" max="12871" width="10.07421875" customWidth="1"/>
    <col min="13057" max="13057" width="5" customWidth="1"/>
    <col min="13058" max="13058" width="14.4609375" customWidth="1"/>
    <col min="13059" max="13059" width="45" customWidth="1"/>
    <col min="13060" max="13060" width="6.4609375" customWidth="1"/>
    <col min="13061" max="13061" width="7.3046875" customWidth="1"/>
    <col min="13062" max="13127" width="10.07421875" customWidth="1"/>
    <col min="13313" max="13313" width="5" customWidth="1"/>
    <col min="13314" max="13314" width="14.4609375" customWidth="1"/>
    <col min="13315" max="13315" width="45" customWidth="1"/>
    <col min="13316" max="13316" width="6.4609375" customWidth="1"/>
    <col min="13317" max="13317" width="7.3046875" customWidth="1"/>
    <col min="13318" max="13383" width="10.07421875" customWidth="1"/>
    <col min="13569" max="13569" width="5" customWidth="1"/>
    <col min="13570" max="13570" width="14.4609375" customWidth="1"/>
    <col min="13571" max="13571" width="45" customWidth="1"/>
    <col min="13572" max="13572" width="6.4609375" customWidth="1"/>
    <col min="13573" max="13573" width="7.3046875" customWidth="1"/>
    <col min="13574" max="13639" width="10.07421875" customWidth="1"/>
    <col min="13825" max="13825" width="5" customWidth="1"/>
    <col min="13826" max="13826" width="14.4609375" customWidth="1"/>
    <col min="13827" max="13827" width="45" customWidth="1"/>
    <col min="13828" max="13828" width="6.4609375" customWidth="1"/>
    <col min="13829" max="13829" width="7.3046875" customWidth="1"/>
    <col min="13830" max="13895" width="10.07421875" customWidth="1"/>
    <col min="14081" max="14081" width="5" customWidth="1"/>
    <col min="14082" max="14082" width="14.4609375" customWidth="1"/>
    <col min="14083" max="14083" width="45" customWidth="1"/>
    <col min="14084" max="14084" width="6.4609375" customWidth="1"/>
    <col min="14085" max="14085" width="7.3046875" customWidth="1"/>
    <col min="14086" max="14151" width="10.07421875" customWidth="1"/>
    <col min="14337" max="14337" width="5" customWidth="1"/>
    <col min="14338" max="14338" width="14.4609375" customWidth="1"/>
    <col min="14339" max="14339" width="45" customWidth="1"/>
    <col min="14340" max="14340" width="6.4609375" customWidth="1"/>
    <col min="14341" max="14341" width="7.3046875" customWidth="1"/>
    <col min="14342" max="14407" width="10.07421875" customWidth="1"/>
    <col min="14593" max="14593" width="5" customWidth="1"/>
    <col min="14594" max="14594" width="14.4609375" customWidth="1"/>
    <col min="14595" max="14595" width="45" customWidth="1"/>
    <col min="14596" max="14596" width="6.4609375" customWidth="1"/>
    <col min="14597" max="14597" width="7.3046875" customWidth="1"/>
    <col min="14598" max="14663" width="10.07421875" customWidth="1"/>
    <col min="14849" max="14849" width="5" customWidth="1"/>
    <col min="14850" max="14850" width="14.4609375" customWidth="1"/>
    <col min="14851" max="14851" width="45" customWidth="1"/>
    <col min="14852" max="14852" width="6.4609375" customWidth="1"/>
    <col min="14853" max="14853" width="7.3046875" customWidth="1"/>
    <col min="14854" max="14919" width="10.07421875" customWidth="1"/>
    <col min="15105" max="15105" width="5" customWidth="1"/>
    <col min="15106" max="15106" width="14.4609375" customWidth="1"/>
    <col min="15107" max="15107" width="45" customWidth="1"/>
    <col min="15108" max="15108" width="6.4609375" customWidth="1"/>
    <col min="15109" max="15109" width="7.3046875" customWidth="1"/>
    <col min="15110" max="15175" width="10.07421875" customWidth="1"/>
    <col min="15361" max="15361" width="5" customWidth="1"/>
    <col min="15362" max="15362" width="14.4609375" customWidth="1"/>
    <col min="15363" max="15363" width="45" customWidth="1"/>
    <col min="15364" max="15364" width="6.4609375" customWidth="1"/>
    <col min="15365" max="15365" width="7.3046875" customWidth="1"/>
    <col min="15366" max="15431" width="10.07421875" customWidth="1"/>
    <col min="15617" max="15617" width="5" customWidth="1"/>
    <col min="15618" max="15618" width="14.4609375" customWidth="1"/>
    <col min="15619" max="15619" width="45" customWidth="1"/>
    <col min="15620" max="15620" width="6.4609375" customWidth="1"/>
    <col min="15621" max="15621" width="7.3046875" customWidth="1"/>
    <col min="15622" max="15687" width="10.07421875" customWidth="1"/>
    <col min="15873" max="15873" width="5" customWidth="1"/>
    <col min="15874" max="15874" width="14.4609375" customWidth="1"/>
    <col min="15875" max="15875" width="45" customWidth="1"/>
    <col min="15876" max="15876" width="6.4609375" customWidth="1"/>
    <col min="15877" max="15877" width="7.3046875" customWidth="1"/>
    <col min="15878" max="15943" width="10.07421875" customWidth="1"/>
    <col min="16129" max="16129" width="5" customWidth="1"/>
    <col min="16130" max="16130" width="14.4609375" customWidth="1"/>
    <col min="16131" max="16131" width="45" customWidth="1"/>
    <col min="16132" max="16132" width="6.4609375" customWidth="1"/>
    <col min="16133" max="16133" width="7.3046875" customWidth="1"/>
    <col min="16134" max="16199" width="10.07421875" customWidth="1"/>
  </cols>
  <sheetData>
    <row r="1" spans="1:71" x14ac:dyDescent="0.4">
      <c r="A1" s="625"/>
      <c r="B1" s="625"/>
      <c r="C1" s="625"/>
      <c r="D1" s="625"/>
      <c r="E1" s="625"/>
      <c r="F1" s="625"/>
      <c r="G1" s="625"/>
      <c r="H1" s="625"/>
      <c r="I1" s="625"/>
      <c r="J1" s="261"/>
      <c r="K1" s="261"/>
      <c r="L1" s="261"/>
      <c r="M1" s="261"/>
      <c r="N1" s="261"/>
      <c r="O1" s="261"/>
      <c r="P1" s="261"/>
      <c r="Q1" s="261"/>
      <c r="R1" s="261"/>
      <c r="S1" s="261"/>
      <c r="T1" s="261"/>
      <c r="U1" s="261"/>
      <c r="V1" s="261"/>
      <c r="W1" s="261"/>
      <c r="X1" s="261"/>
      <c r="Y1" s="261"/>
      <c r="Z1" s="261"/>
      <c r="AA1" s="261"/>
      <c r="AB1" s="261"/>
      <c r="AC1" s="261"/>
      <c r="AD1" s="261"/>
      <c r="AE1" s="261"/>
      <c r="AF1" s="261"/>
      <c r="AG1" s="261"/>
      <c r="AH1" s="261"/>
      <c r="AI1" s="261"/>
      <c r="AJ1" s="261"/>
      <c r="AK1" s="261"/>
      <c r="AL1" s="261"/>
      <c r="AM1" s="261"/>
      <c r="AN1" s="261"/>
      <c r="AO1" s="261"/>
      <c r="AP1" s="261"/>
      <c r="AQ1" s="261"/>
      <c r="AR1" s="261"/>
      <c r="AS1" s="261"/>
      <c r="AT1" s="261"/>
      <c r="AU1" s="261"/>
      <c r="AV1" s="261"/>
      <c r="AW1" s="261"/>
      <c r="AX1" s="261"/>
      <c r="AY1" s="261"/>
      <c r="AZ1" s="261"/>
      <c r="BA1" s="261"/>
      <c r="BB1" s="261"/>
      <c r="BC1" s="261"/>
      <c r="BD1" s="261"/>
      <c r="BE1" s="261"/>
      <c r="BF1" s="261"/>
      <c r="BG1" s="261"/>
      <c r="BH1" s="261"/>
      <c r="BI1" s="261"/>
      <c r="BJ1" s="261"/>
      <c r="BK1" s="261"/>
      <c r="BL1" s="261"/>
      <c r="BM1" s="261"/>
      <c r="BN1" s="261"/>
      <c r="BO1" s="261"/>
      <c r="BP1" s="261"/>
      <c r="BQ1" s="261"/>
      <c r="BR1" s="261"/>
      <c r="BS1" s="261"/>
    </row>
    <row r="2" spans="1:71" x14ac:dyDescent="0.4">
      <c r="A2" s="625"/>
      <c r="B2" s="625"/>
      <c r="C2" s="625"/>
      <c r="D2" s="625"/>
      <c r="E2" s="625"/>
      <c r="F2" s="625"/>
      <c r="G2" s="625"/>
      <c r="H2" s="625"/>
      <c r="I2" s="625"/>
      <c r="J2" s="261"/>
      <c r="K2" s="261"/>
      <c r="L2" s="261"/>
      <c r="M2" s="261"/>
      <c r="N2" s="261"/>
      <c r="O2" s="261"/>
      <c r="P2" s="261"/>
      <c r="Q2" s="261"/>
      <c r="R2" s="261"/>
      <c r="S2" s="261"/>
      <c r="T2" s="261"/>
      <c r="U2" s="261"/>
      <c r="V2" s="261"/>
      <c r="W2" s="261"/>
      <c r="X2" s="261"/>
      <c r="Y2" s="261"/>
      <c r="Z2" s="261"/>
      <c r="AA2" s="261"/>
      <c r="AB2" s="261"/>
      <c r="AC2" s="261"/>
      <c r="AD2" s="261"/>
      <c r="AE2" s="261"/>
      <c r="AF2" s="261"/>
      <c r="AG2" s="261"/>
      <c r="AH2" s="261"/>
      <c r="AI2" s="261"/>
      <c r="AJ2" s="261"/>
      <c r="AK2" s="261"/>
      <c r="AL2" s="261"/>
      <c r="AM2" s="261"/>
      <c r="AN2" s="261"/>
      <c r="AO2" s="261"/>
      <c r="AP2" s="261"/>
      <c r="AQ2" s="261"/>
      <c r="AR2" s="261"/>
      <c r="AS2" s="261"/>
      <c r="AT2" s="261"/>
      <c r="AU2" s="261"/>
      <c r="AV2" s="261"/>
      <c r="AW2" s="261"/>
      <c r="AX2" s="261"/>
      <c r="AY2" s="261"/>
      <c r="AZ2" s="261"/>
      <c r="BA2" s="261"/>
      <c r="BB2" s="261"/>
      <c r="BC2" s="261"/>
      <c r="BD2" s="261"/>
      <c r="BE2" s="261"/>
      <c r="BF2" s="261"/>
      <c r="BG2" s="261"/>
      <c r="BH2" s="261"/>
      <c r="BI2" s="261"/>
      <c r="BJ2" s="261"/>
      <c r="BK2" s="261"/>
      <c r="BL2" s="261"/>
      <c r="BM2" s="261"/>
      <c r="BN2" s="261"/>
      <c r="BO2" s="261"/>
      <c r="BP2" s="261"/>
      <c r="BQ2" s="261"/>
      <c r="BR2" s="261"/>
      <c r="BS2" s="261"/>
    </row>
    <row r="3" spans="1:71" x14ac:dyDescent="0.4">
      <c r="A3" s="261"/>
      <c r="B3" s="261"/>
      <c r="C3" s="261"/>
      <c r="D3" s="261"/>
      <c r="E3" s="261"/>
      <c r="F3" s="261"/>
      <c r="G3" s="261"/>
      <c r="H3" s="261"/>
      <c r="I3" s="261"/>
      <c r="J3" s="261"/>
      <c r="K3" s="261"/>
      <c r="L3" s="261"/>
      <c r="M3" s="261"/>
      <c r="N3" s="261"/>
      <c r="O3" s="261"/>
      <c r="P3" s="261"/>
      <c r="Q3" s="261"/>
      <c r="R3" s="261"/>
      <c r="S3" s="261"/>
      <c r="T3" s="261"/>
      <c r="U3" s="261"/>
      <c r="V3" s="261"/>
      <c r="W3" s="261"/>
      <c r="X3" s="261"/>
      <c r="Y3" s="261"/>
      <c r="Z3" s="261"/>
      <c r="AA3" s="261"/>
      <c r="AB3" s="261"/>
      <c r="AC3" s="261"/>
      <c r="AD3" s="261"/>
      <c r="AE3" s="261"/>
      <c r="AF3" s="261"/>
      <c r="AG3" s="261"/>
      <c r="AH3" s="261"/>
      <c r="AI3" s="261"/>
      <c r="AJ3" s="261"/>
      <c r="AK3" s="261"/>
      <c r="AL3" s="261"/>
      <c r="AM3" s="261"/>
      <c r="AN3" s="261"/>
      <c r="AO3" s="261"/>
      <c r="AP3" s="261"/>
      <c r="AQ3" s="261"/>
      <c r="AR3" s="261"/>
      <c r="AS3" s="261"/>
      <c r="AT3" s="261"/>
      <c r="AU3" s="261"/>
      <c r="AV3" s="261"/>
      <c r="AW3" s="261"/>
      <c r="AX3" s="261"/>
      <c r="AY3" s="261"/>
      <c r="AZ3" s="261"/>
      <c r="BA3" s="261"/>
      <c r="BB3" s="261"/>
      <c r="BC3" s="261"/>
      <c r="BD3" s="261"/>
      <c r="BE3" s="261"/>
      <c r="BF3" s="261"/>
      <c r="BG3" s="261"/>
      <c r="BH3" s="261"/>
      <c r="BI3" s="261"/>
      <c r="BJ3" s="261"/>
      <c r="BK3" s="261"/>
      <c r="BL3" s="261"/>
      <c r="BM3" s="261"/>
      <c r="BN3" s="261"/>
      <c r="BO3" s="261"/>
      <c r="BP3" s="261"/>
      <c r="BQ3" s="261"/>
      <c r="BR3" s="261"/>
      <c r="BS3" s="261"/>
    </row>
    <row r="4" spans="1:71" x14ac:dyDescent="0.4">
      <c r="A4" s="261"/>
      <c r="B4" s="261"/>
      <c r="C4" s="261"/>
      <c r="D4" s="261"/>
      <c r="E4" s="261"/>
      <c r="F4" s="261"/>
      <c r="G4" s="261"/>
      <c r="H4" s="261"/>
      <c r="I4" s="261"/>
      <c r="J4" s="261"/>
      <c r="K4" s="261"/>
      <c r="L4" s="261"/>
      <c r="M4" s="261"/>
      <c r="N4" s="261"/>
      <c r="O4" s="261"/>
      <c r="P4" s="261"/>
      <c r="Q4" s="261"/>
      <c r="R4" s="261"/>
      <c r="S4" s="261"/>
      <c r="T4" s="261"/>
      <c r="U4" s="261"/>
      <c r="V4" s="261"/>
      <c r="W4" s="261"/>
      <c r="X4" s="261"/>
      <c r="Y4" s="261"/>
      <c r="Z4" s="261"/>
      <c r="AA4" s="261"/>
      <c r="AB4" s="261"/>
      <c r="AC4" s="261"/>
      <c r="AD4" s="261"/>
      <c r="AE4" s="261"/>
      <c r="AF4" s="261"/>
      <c r="AG4" s="261"/>
      <c r="AH4" s="261"/>
      <c r="AI4" s="261"/>
      <c r="AJ4" s="261"/>
      <c r="AK4" s="261"/>
      <c r="AL4" s="261"/>
      <c r="AM4" s="261"/>
      <c r="AN4" s="261"/>
      <c r="AO4" s="261"/>
      <c r="AP4" s="261"/>
      <c r="AQ4" s="261"/>
      <c r="AR4" s="261"/>
      <c r="AS4" s="261"/>
      <c r="AT4" s="261"/>
      <c r="AU4" s="261"/>
      <c r="AV4" s="261"/>
      <c r="AW4" s="261"/>
      <c r="AX4" s="261"/>
      <c r="AY4" s="261"/>
      <c r="AZ4" s="261"/>
      <c r="BA4" s="261"/>
      <c r="BB4" s="261"/>
      <c r="BC4" s="261"/>
      <c r="BD4" s="261"/>
      <c r="BE4" s="261"/>
      <c r="BF4" s="261"/>
      <c r="BG4" s="261"/>
      <c r="BH4" s="261"/>
      <c r="BI4" s="261"/>
      <c r="BJ4" s="261"/>
      <c r="BK4" s="261"/>
      <c r="BL4" s="261"/>
      <c r="BM4" s="261"/>
      <c r="BN4" s="261"/>
      <c r="BO4" s="261"/>
      <c r="BP4" s="261"/>
      <c r="BQ4" s="261"/>
      <c r="BR4" s="261"/>
      <c r="BS4" s="261"/>
    </row>
    <row r="5" spans="1:71" x14ac:dyDescent="0.4">
      <c r="A5" s="625"/>
      <c r="B5" s="625"/>
      <c r="C5" s="625"/>
      <c r="D5" s="625"/>
      <c r="E5" s="625"/>
      <c r="F5" s="625"/>
      <c r="G5" s="625"/>
      <c r="H5" s="625"/>
      <c r="I5" s="625"/>
      <c r="J5" s="261"/>
      <c r="K5" s="261"/>
      <c r="L5" s="261"/>
      <c r="M5" s="261"/>
      <c r="N5" s="261"/>
      <c r="O5" s="261"/>
      <c r="P5" s="261"/>
      <c r="Q5" s="261"/>
      <c r="R5" s="261"/>
      <c r="S5" s="261"/>
      <c r="T5" s="261"/>
      <c r="U5" s="261"/>
      <c r="V5" s="261"/>
      <c r="W5" s="261"/>
      <c r="X5" s="261"/>
      <c r="Y5" s="261"/>
      <c r="Z5" s="261"/>
      <c r="AA5" s="261"/>
      <c r="AB5" s="261"/>
      <c r="AC5" s="261"/>
      <c r="AD5" s="261"/>
      <c r="AE5" s="261"/>
      <c r="AF5" s="261"/>
      <c r="AG5" s="261"/>
      <c r="AH5" s="261"/>
      <c r="AI5" s="261"/>
      <c r="AJ5" s="261"/>
      <c r="AK5" s="261"/>
      <c r="AL5" s="261"/>
      <c r="AM5" s="261"/>
      <c r="AN5" s="261"/>
      <c r="AO5" s="261"/>
      <c r="AP5" s="261"/>
      <c r="AQ5" s="261"/>
      <c r="AR5" s="261"/>
      <c r="AS5" s="261"/>
      <c r="AT5" s="261"/>
      <c r="AU5" s="261"/>
      <c r="AV5" s="261"/>
      <c r="AW5" s="261"/>
      <c r="AX5" s="261"/>
      <c r="AY5" s="261"/>
      <c r="AZ5" s="261"/>
      <c r="BA5" s="261"/>
      <c r="BB5" s="261"/>
      <c r="BC5" s="261"/>
      <c r="BD5" s="261"/>
      <c r="BE5" s="261"/>
      <c r="BF5" s="261"/>
      <c r="BG5" s="261"/>
      <c r="BH5" s="261"/>
      <c r="BI5" s="261"/>
      <c r="BJ5" s="261"/>
      <c r="BK5" s="261"/>
      <c r="BL5" s="261"/>
      <c r="BM5" s="261"/>
      <c r="BN5" s="261"/>
      <c r="BO5" s="261"/>
      <c r="BP5" s="261"/>
      <c r="BQ5" s="261"/>
      <c r="BR5" s="261"/>
      <c r="BS5" s="261"/>
    </row>
    <row r="6" spans="1:71" x14ac:dyDescent="0.4">
      <c r="A6" s="625"/>
      <c r="B6" s="625"/>
      <c r="C6" s="625"/>
      <c r="D6" s="625"/>
      <c r="E6" s="625"/>
      <c r="F6" s="625"/>
      <c r="G6" s="625"/>
      <c r="H6" s="625"/>
      <c r="I6" s="625"/>
      <c r="J6" s="261"/>
      <c r="K6" s="261"/>
      <c r="L6" s="261"/>
      <c r="M6" s="261"/>
      <c r="N6" s="261"/>
      <c r="O6" s="261"/>
      <c r="P6" s="261"/>
      <c r="Q6" s="261"/>
      <c r="R6" s="261"/>
      <c r="S6" s="261"/>
      <c r="T6" s="261"/>
      <c r="U6" s="261"/>
      <c r="V6" s="261"/>
      <c r="W6" s="261"/>
      <c r="X6" s="261"/>
      <c r="Y6" s="261"/>
      <c r="Z6" s="261"/>
      <c r="AA6" s="261"/>
      <c r="AB6" s="261"/>
      <c r="AC6" s="261"/>
      <c r="AD6" s="261"/>
      <c r="AE6" s="261"/>
      <c r="AF6" s="261"/>
      <c r="AG6" s="261"/>
      <c r="AH6" s="261"/>
      <c r="AI6" s="261"/>
      <c r="AJ6" s="261"/>
      <c r="AK6" s="261"/>
      <c r="AL6" s="261"/>
      <c r="AM6" s="261"/>
      <c r="AN6" s="261"/>
      <c r="AO6" s="261"/>
      <c r="AP6" s="261"/>
      <c r="AQ6" s="261"/>
      <c r="AR6" s="261"/>
      <c r="AS6" s="261"/>
      <c r="AT6" s="261"/>
      <c r="AU6" s="261"/>
      <c r="AV6" s="261"/>
      <c r="AW6" s="261"/>
      <c r="AX6" s="261"/>
      <c r="AY6" s="261"/>
      <c r="AZ6" s="261"/>
      <c r="BA6" s="261"/>
      <c r="BB6" s="261"/>
      <c r="BC6" s="261"/>
      <c r="BD6" s="261"/>
      <c r="BE6" s="261"/>
      <c r="BF6" s="261"/>
      <c r="BG6" s="261"/>
      <c r="BH6" s="261"/>
      <c r="BI6" s="261"/>
      <c r="BJ6" s="261"/>
      <c r="BK6" s="261"/>
      <c r="BL6" s="261"/>
      <c r="BM6" s="261"/>
      <c r="BN6" s="261"/>
      <c r="BO6" s="261"/>
      <c r="BP6" s="261"/>
      <c r="BQ6" s="261"/>
      <c r="BR6" s="261"/>
      <c r="BS6" s="261"/>
    </row>
    <row r="7" spans="1:71" ht="15.45" x14ac:dyDescent="0.4">
      <c r="A7" s="629" t="s">
        <v>875</v>
      </c>
      <c r="B7" s="629"/>
      <c r="C7" s="629"/>
      <c r="D7" s="629"/>
      <c r="E7" s="629"/>
      <c r="F7" s="629"/>
      <c r="G7" s="629"/>
      <c r="H7" s="629"/>
      <c r="I7" s="629"/>
      <c r="J7" s="261"/>
      <c r="K7" s="261"/>
      <c r="L7" s="261"/>
      <c r="M7" s="261"/>
      <c r="N7" s="261"/>
      <c r="O7" s="261"/>
      <c r="P7" s="261"/>
      <c r="Q7" s="261"/>
      <c r="R7" s="261"/>
      <c r="S7" s="261"/>
      <c r="T7" s="261"/>
      <c r="U7" s="261"/>
      <c r="V7" s="261"/>
      <c r="W7" s="261"/>
      <c r="X7" s="261"/>
      <c r="Y7" s="261"/>
      <c r="Z7" s="261"/>
      <c r="AA7" s="261"/>
      <c r="AB7" s="261"/>
      <c r="AC7" s="261"/>
      <c r="AD7" s="261"/>
      <c r="AE7" s="261"/>
      <c r="AF7" s="261"/>
      <c r="AG7" s="261"/>
      <c r="AH7" s="261"/>
      <c r="AI7" s="261"/>
      <c r="AJ7" s="261"/>
      <c r="AK7" s="261"/>
      <c r="AL7" s="261"/>
      <c r="AM7" s="261"/>
      <c r="AN7" s="261"/>
      <c r="AO7" s="261"/>
      <c r="AP7" s="261"/>
      <c r="AQ7" s="261"/>
      <c r="AR7" s="261"/>
      <c r="AS7" s="261"/>
      <c r="AT7" s="261"/>
      <c r="AU7" s="261"/>
      <c r="AV7" s="261"/>
      <c r="AW7" s="261"/>
      <c r="AX7" s="261"/>
      <c r="AY7" s="261"/>
      <c r="AZ7" s="261"/>
      <c r="BA7" s="261"/>
      <c r="BB7" s="261"/>
      <c r="BC7" s="261"/>
      <c r="BD7" s="261"/>
      <c r="BE7" s="261"/>
      <c r="BF7" s="261"/>
      <c r="BG7" s="261"/>
      <c r="BH7" s="261"/>
      <c r="BI7" s="261"/>
      <c r="BJ7" s="261"/>
      <c r="BK7" s="261"/>
      <c r="BL7" s="261"/>
      <c r="BM7" s="261"/>
      <c r="BN7" s="261"/>
      <c r="BO7" s="261"/>
      <c r="BP7" s="261"/>
      <c r="BQ7" s="261"/>
      <c r="BR7" s="261"/>
      <c r="BS7" s="261"/>
    </row>
    <row r="8" spans="1:71" x14ac:dyDescent="0.4">
      <c r="A8" s="624" t="s">
        <v>876</v>
      </c>
      <c r="B8" s="624"/>
      <c r="C8" s="624"/>
      <c r="D8" s="624"/>
      <c r="E8" s="624"/>
      <c r="F8" s="624"/>
      <c r="G8" s="624"/>
      <c r="H8" s="624"/>
      <c r="I8" s="624"/>
      <c r="J8" s="261"/>
      <c r="K8" s="261"/>
      <c r="L8" s="261"/>
      <c r="M8" s="261"/>
      <c r="N8" s="261"/>
      <c r="O8" s="261"/>
      <c r="P8" s="261"/>
      <c r="Q8" s="261"/>
      <c r="R8" s="261"/>
      <c r="S8" s="261"/>
      <c r="T8" s="261"/>
      <c r="U8" s="261"/>
      <c r="V8" s="261"/>
      <c r="W8" s="261"/>
      <c r="X8" s="261"/>
      <c r="Y8" s="261"/>
      <c r="Z8" s="261"/>
      <c r="AA8" s="261"/>
      <c r="AB8" s="261"/>
      <c r="AC8" s="261"/>
      <c r="AD8" s="261"/>
      <c r="AE8" s="261"/>
      <c r="AF8" s="261"/>
      <c r="AG8" s="261"/>
      <c r="AH8" s="261"/>
      <c r="AI8" s="261"/>
      <c r="AJ8" s="261"/>
      <c r="AK8" s="261"/>
      <c r="AL8" s="261"/>
      <c r="AM8" s="261"/>
      <c r="AN8" s="261"/>
      <c r="AO8" s="261"/>
      <c r="AP8" s="261"/>
      <c r="AQ8" s="261"/>
      <c r="AR8" s="261"/>
      <c r="AS8" s="261"/>
      <c r="AT8" s="261"/>
      <c r="AU8" s="261"/>
      <c r="AV8" s="261"/>
      <c r="AW8" s="261"/>
      <c r="AX8" s="261"/>
      <c r="AY8" s="261"/>
      <c r="AZ8" s="261"/>
      <c r="BA8" s="261"/>
      <c r="BB8" s="261"/>
      <c r="BC8" s="261"/>
      <c r="BD8" s="261"/>
      <c r="BE8" s="261"/>
      <c r="BF8" s="261"/>
      <c r="BG8" s="261"/>
      <c r="BH8" s="261"/>
      <c r="BI8" s="261"/>
      <c r="BJ8" s="261"/>
      <c r="BK8" s="261"/>
      <c r="BL8" s="261"/>
      <c r="BM8" s="261"/>
      <c r="BN8" s="261"/>
      <c r="BO8" s="261"/>
      <c r="BP8" s="261"/>
      <c r="BQ8" s="261"/>
      <c r="BR8" s="261"/>
      <c r="BS8" s="261"/>
    </row>
    <row r="9" spans="1:71" x14ac:dyDescent="0.4">
      <c r="A9" s="624" t="s">
        <v>877</v>
      </c>
      <c r="B9" s="624"/>
      <c r="C9" s="624"/>
      <c r="D9" s="624"/>
      <c r="E9" s="624"/>
      <c r="F9" s="624"/>
      <c r="G9" s="624"/>
      <c r="H9" s="624"/>
      <c r="I9" s="624"/>
      <c r="J9" s="261"/>
      <c r="K9" s="261"/>
      <c r="L9" s="261"/>
      <c r="M9" s="261"/>
      <c r="N9" s="261"/>
      <c r="O9" s="261"/>
      <c r="P9" s="261"/>
      <c r="Q9" s="261"/>
      <c r="R9" s="261"/>
      <c r="S9" s="261"/>
      <c r="T9" s="261"/>
      <c r="U9" s="261"/>
      <c r="V9" s="261"/>
      <c r="W9" s="261"/>
      <c r="X9" s="261"/>
      <c r="Y9" s="261"/>
      <c r="Z9" s="261"/>
      <c r="AA9" s="261"/>
      <c r="AB9" s="261"/>
      <c r="AC9" s="261"/>
      <c r="AD9" s="261"/>
      <c r="AE9" s="261"/>
      <c r="AF9" s="261"/>
      <c r="AG9" s="261"/>
      <c r="AH9" s="261"/>
      <c r="AI9" s="261"/>
      <c r="AJ9" s="261"/>
      <c r="AK9" s="261"/>
      <c r="AL9" s="261"/>
      <c r="AM9" s="261"/>
      <c r="AN9" s="261"/>
      <c r="AO9" s="261"/>
      <c r="AP9" s="261"/>
      <c r="AQ9" s="261"/>
      <c r="AR9" s="261"/>
      <c r="AS9" s="261"/>
      <c r="AT9" s="261"/>
      <c r="AU9" s="261"/>
      <c r="AV9" s="261"/>
      <c r="AW9" s="261"/>
      <c r="AX9" s="261"/>
      <c r="AY9" s="261"/>
      <c r="AZ9" s="261"/>
      <c r="BA9" s="261"/>
      <c r="BB9" s="261"/>
      <c r="BC9" s="261"/>
      <c r="BD9" s="261"/>
      <c r="BE9" s="261"/>
      <c r="BF9" s="261"/>
      <c r="BG9" s="261"/>
      <c r="BH9" s="261"/>
      <c r="BI9" s="261"/>
      <c r="BJ9" s="261"/>
      <c r="BK9" s="261"/>
      <c r="BL9" s="261"/>
      <c r="BM9" s="261"/>
      <c r="BN9" s="261"/>
      <c r="BO9" s="261"/>
      <c r="BP9" s="261"/>
      <c r="BQ9" s="261"/>
      <c r="BR9" s="261"/>
      <c r="BS9" s="261"/>
    </row>
    <row r="10" spans="1:71" x14ac:dyDescent="0.4">
      <c r="A10" s="625"/>
      <c r="B10" s="625"/>
      <c r="C10" s="625"/>
      <c r="D10" s="625"/>
      <c r="E10" s="625"/>
      <c r="F10" s="625"/>
      <c r="G10" s="625"/>
      <c r="H10" s="625"/>
      <c r="I10" s="625"/>
      <c r="J10" s="261"/>
      <c r="K10" s="261"/>
      <c r="L10" s="261"/>
      <c r="M10" s="261"/>
      <c r="N10" s="261"/>
      <c r="O10" s="261"/>
      <c r="P10" s="261"/>
      <c r="Q10" s="261"/>
      <c r="R10" s="261"/>
      <c r="S10" s="261"/>
      <c r="T10" s="261"/>
      <c r="U10" s="261"/>
      <c r="V10" s="261"/>
      <c r="W10" s="261"/>
      <c r="X10" s="261"/>
      <c r="Y10" s="261"/>
      <c r="Z10" s="261"/>
      <c r="AA10" s="261"/>
      <c r="AB10" s="261"/>
      <c r="AC10" s="261"/>
      <c r="AD10" s="261"/>
      <c r="AE10" s="261"/>
      <c r="AF10" s="261"/>
      <c r="AG10" s="261"/>
      <c r="AH10" s="261"/>
      <c r="AI10" s="261"/>
      <c r="AJ10" s="261"/>
      <c r="AK10" s="261"/>
      <c r="AL10" s="261"/>
      <c r="AM10" s="261"/>
      <c r="AN10" s="261"/>
      <c r="AO10" s="261"/>
      <c r="AP10" s="261"/>
      <c r="AQ10" s="261"/>
      <c r="AR10" s="261"/>
      <c r="AS10" s="261"/>
      <c r="AT10" s="261"/>
      <c r="AU10" s="261"/>
      <c r="AV10" s="261"/>
      <c r="AW10" s="261"/>
      <c r="AX10" s="261"/>
      <c r="AY10" s="261"/>
      <c r="AZ10" s="261"/>
      <c r="BA10" s="261"/>
      <c r="BB10" s="261"/>
      <c r="BC10" s="261"/>
      <c r="BD10" s="261"/>
      <c r="BE10" s="261"/>
      <c r="BF10" s="261"/>
      <c r="BG10" s="261"/>
      <c r="BH10" s="261"/>
      <c r="BI10" s="261"/>
      <c r="BJ10" s="261"/>
      <c r="BK10" s="261"/>
      <c r="BL10" s="261"/>
      <c r="BM10" s="261"/>
      <c r="BN10" s="261"/>
      <c r="BO10" s="261"/>
      <c r="BP10" s="261"/>
      <c r="BQ10" s="261"/>
      <c r="BR10" s="261"/>
      <c r="BS10" s="261"/>
    </row>
    <row r="11" spans="1:71" x14ac:dyDescent="0.4">
      <c r="A11" s="626" t="s">
        <v>878</v>
      </c>
      <c r="B11" s="626"/>
      <c r="C11" s="626"/>
      <c r="D11" s="626"/>
      <c r="E11" s="626"/>
      <c r="F11" s="626"/>
      <c r="G11" s="626"/>
      <c r="H11" s="626"/>
      <c r="I11" s="626"/>
      <c r="J11" s="261"/>
      <c r="K11" s="261"/>
      <c r="L11" s="261"/>
      <c r="M11" s="261"/>
      <c r="N11" s="261"/>
      <c r="O11" s="261"/>
      <c r="P11" s="261"/>
      <c r="Q11" s="261"/>
      <c r="R11" s="261"/>
      <c r="S11" s="261"/>
      <c r="T11" s="261"/>
      <c r="U11" s="261"/>
      <c r="V11" s="261"/>
      <c r="W11" s="261"/>
      <c r="X11" s="261"/>
      <c r="Y11" s="261"/>
      <c r="Z11" s="261"/>
      <c r="AA11" s="261"/>
      <c r="AB11" s="261"/>
      <c r="AC11" s="261"/>
      <c r="AD11" s="261"/>
      <c r="AE11" s="261"/>
      <c r="AF11" s="261"/>
      <c r="AG11" s="261"/>
      <c r="AH11" s="261"/>
      <c r="AI11" s="261"/>
      <c r="AJ11" s="261"/>
      <c r="AK11" s="261"/>
      <c r="AL11" s="261"/>
      <c r="AM11" s="261"/>
      <c r="AN11" s="261"/>
      <c r="AO11" s="261"/>
      <c r="AP11" s="261"/>
      <c r="AQ11" s="261"/>
      <c r="AR11" s="261"/>
      <c r="AS11" s="261"/>
      <c r="AT11" s="261"/>
      <c r="AU11" s="261"/>
      <c r="AV11" s="261"/>
      <c r="AW11" s="261"/>
      <c r="AX11" s="261"/>
      <c r="AY11" s="261"/>
      <c r="AZ11" s="261"/>
      <c r="BA11" s="261"/>
      <c r="BB11" s="261"/>
      <c r="BC11" s="261"/>
      <c r="BD11" s="261"/>
      <c r="BE11" s="261"/>
      <c r="BF11" s="261"/>
      <c r="BG11" s="261"/>
      <c r="BH11" s="261"/>
      <c r="BI11" s="261"/>
      <c r="BJ11" s="261"/>
      <c r="BK11" s="261"/>
      <c r="BL11" s="261"/>
      <c r="BM11" s="261"/>
      <c r="BN11" s="261"/>
      <c r="BO11" s="261"/>
      <c r="BP11" s="261"/>
      <c r="BQ11" s="261"/>
      <c r="BR11" s="261"/>
      <c r="BS11" s="261"/>
    </row>
    <row r="12" spans="1:71" x14ac:dyDescent="0.4">
      <c r="A12" s="624" t="s">
        <v>879</v>
      </c>
      <c r="B12" s="624"/>
      <c r="C12" s="624"/>
      <c r="D12" s="624"/>
      <c r="E12" s="624"/>
      <c r="F12" s="624"/>
      <c r="G12" s="624"/>
      <c r="H12" s="624"/>
      <c r="I12" s="624"/>
      <c r="J12" s="261"/>
      <c r="K12" s="261"/>
      <c r="L12" s="261"/>
      <c r="M12" s="261"/>
      <c r="N12" s="261"/>
      <c r="O12" s="261"/>
      <c r="P12" s="261"/>
      <c r="Q12" s="261"/>
      <c r="R12" s="261"/>
      <c r="S12" s="261"/>
      <c r="T12" s="261"/>
      <c r="U12" s="261"/>
      <c r="V12" s="261"/>
      <c r="W12" s="261"/>
      <c r="X12" s="261"/>
      <c r="Y12" s="261"/>
      <c r="Z12" s="261"/>
      <c r="AA12" s="261"/>
      <c r="AB12" s="261"/>
      <c r="AC12" s="261"/>
      <c r="AD12" s="261"/>
      <c r="AE12" s="261"/>
      <c r="AF12" s="261"/>
      <c r="AG12" s="261"/>
      <c r="AH12" s="261"/>
      <c r="AI12" s="261"/>
      <c r="AJ12" s="261"/>
      <c r="AK12" s="261"/>
      <c r="AL12" s="261"/>
      <c r="AM12" s="261"/>
      <c r="AN12" s="261"/>
      <c r="AO12" s="261"/>
      <c r="AP12" s="261"/>
      <c r="AQ12" s="261"/>
      <c r="AR12" s="261"/>
      <c r="AS12" s="261"/>
      <c r="AT12" s="261"/>
      <c r="AU12" s="261"/>
      <c r="AV12" s="261"/>
      <c r="AW12" s="261"/>
      <c r="AX12" s="261"/>
      <c r="AY12" s="261"/>
      <c r="AZ12" s="261"/>
      <c r="BA12" s="261"/>
      <c r="BB12" s="261"/>
      <c r="BC12" s="261"/>
      <c r="BD12" s="261"/>
      <c r="BE12" s="261"/>
      <c r="BF12" s="261"/>
      <c r="BG12" s="261"/>
      <c r="BH12" s="261"/>
      <c r="BI12" s="261"/>
      <c r="BJ12" s="261"/>
      <c r="BK12" s="261"/>
      <c r="BL12" s="261"/>
      <c r="BM12" s="261"/>
      <c r="BN12" s="261"/>
      <c r="BO12" s="261"/>
      <c r="BP12" s="261"/>
      <c r="BQ12" s="261"/>
      <c r="BR12" s="261"/>
      <c r="BS12" s="261"/>
    </row>
    <row r="13" spans="1:71" x14ac:dyDescent="0.4">
      <c r="A13" s="627" t="s">
        <v>880</v>
      </c>
      <c r="B13" s="627"/>
      <c r="C13" s="627"/>
      <c r="D13" s="627"/>
      <c r="E13" s="627"/>
      <c r="F13" s="627"/>
      <c r="G13" s="627"/>
      <c r="H13" s="627"/>
      <c r="I13" s="627"/>
      <c r="J13" s="261"/>
      <c r="K13" s="261"/>
      <c r="L13" s="261"/>
      <c r="M13" s="261"/>
      <c r="N13" s="261"/>
      <c r="O13" s="261"/>
      <c r="P13" s="261"/>
      <c r="Q13" s="261"/>
      <c r="R13" s="261"/>
      <c r="S13" s="261"/>
      <c r="T13" s="261"/>
      <c r="U13" s="261"/>
      <c r="V13" s="261"/>
      <c r="W13" s="261"/>
      <c r="X13" s="261"/>
      <c r="Y13" s="261"/>
      <c r="Z13" s="261"/>
      <c r="AA13" s="261"/>
      <c r="AB13" s="261"/>
      <c r="AC13" s="261"/>
      <c r="AD13" s="261"/>
      <c r="AE13" s="261"/>
      <c r="AF13" s="261"/>
      <c r="AG13" s="261"/>
      <c r="AH13" s="261"/>
      <c r="AI13" s="261"/>
      <c r="AJ13" s="261"/>
      <c r="AK13" s="261"/>
      <c r="AL13" s="261"/>
      <c r="AM13" s="261"/>
      <c r="AN13" s="261"/>
      <c r="AO13" s="261"/>
      <c r="AP13" s="261"/>
      <c r="AQ13" s="261"/>
      <c r="AR13" s="261"/>
      <c r="AS13" s="261"/>
      <c r="AT13" s="261"/>
      <c r="AU13" s="261"/>
      <c r="AV13" s="261"/>
      <c r="AW13" s="261"/>
      <c r="AX13" s="261"/>
      <c r="AY13" s="261"/>
      <c r="AZ13" s="261"/>
      <c r="BA13" s="261"/>
      <c r="BB13" s="261"/>
      <c r="BC13" s="261"/>
      <c r="BD13" s="261"/>
      <c r="BE13" s="261"/>
      <c r="BF13" s="261"/>
      <c r="BG13" s="261"/>
      <c r="BH13" s="261"/>
      <c r="BI13" s="261"/>
      <c r="BJ13" s="261"/>
      <c r="BK13" s="261"/>
      <c r="BL13" s="261"/>
      <c r="BM13" s="261"/>
      <c r="BN13" s="261"/>
      <c r="BO13" s="261"/>
      <c r="BP13" s="261"/>
      <c r="BQ13" s="261"/>
      <c r="BR13" s="261"/>
      <c r="BS13" s="261"/>
    </row>
    <row r="14" spans="1:71" x14ac:dyDescent="0.4">
      <c r="A14" s="628" t="s">
        <v>881</v>
      </c>
      <c r="B14" s="628"/>
      <c r="C14" s="628"/>
      <c r="D14" s="628"/>
      <c r="E14" s="628"/>
      <c r="F14" s="628"/>
      <c r="G14" s="628"/>
      <c r="H14" s="628"/>
      <c r="I14" s="628"/>
      <c r="J14" s="261"/>
      <c r="K14" s="261"/>
      <c r="L14" s="261"/>
      <c r="M14" s="261"/>
      <c r="N14" s="261"/>
      <c r="O14" s="261"/>
      <c r="P14" s="261"/>
      <c r="Q14" s="261"/>
      <c r="R14" s="261"/>
      <c r="S14" s="261"/>
      <c r="T14" s="261"/>
      <c r="U14" s="261"/>
      <c r="V14" s="261"/>
      <c r="W14" s="261"/>
      <c r="X14" s="261"/>
      <c r="Y14" s="261"/>
      <c r="Z14" s="261"/>
      <c r="AA14" s="261"/>
      <c r="AB14" s="261"/>
      <c r="AC14" s="261"/>
      <c r="AD14" s="261"/>
      <c r="AE14" s="261"/>
      <c r="AF14" s="261"/>
      <c r="AG14" s="261"/>
      <c r="AH14" s="261"/>
      <c r="AI14" s="261"/>
      <c r="AJ14" s="261"/>
      <c r="AK14" s="261"/>
      <c r="AL14" s="261"/>
      <c r="AM14" s="261"/>
      <c r="AN14" s="261"/>
      <c r="AO14" s="261"/>
      <c r="AP14" s="261"/>
      <c r="AQ14" s="261"/>
      <c r="AR14" s="261"/>
      <c r="AS14" s="261"/>
      <c r="AT14" s="261"/>
      <c r="AU14" s="261"/>
      <c r="AV14" s="261"/>
      <c r="AW14" s="261"/>
      <c r="AX14" s="261"/>
      <c r="AY14" s="261"/>
      <c r="AZ14" s="261"/>
      <c r="BA14" s="261"/>
      <c r="BB14" s="261"/>
      <c r="BC14" s="261"/>
      <c r="BD14" s="261"/>
      <c r="BE14" s="261"/>
      <c r="BF14" s="261"/>
      <c r="BG14" s="261"/>
      <c r="BH14" s="261"/>
      <c r="BI14" s="261"/>
      <c r="BJ14" s="261"/>
      <c r="BK14" s="261"/>
      <c r="BL14" s="261"/>
      <c r="BM14" s="261"/>
      <c r="BN14" s="261"/>
      <c r="BO14" s="261"/>
      <c r="BP14" s="261"/>
      <c r="BQ14" s="261"/>
      <c r="BR14" s="261"/>
      <c r="BS14" s="261"/>
    </row>
    <row r="15" spans="1:71" x14ac:dyDescent="0.4">
      <c r="A15" s="621" t="s">
        <v>882</v>
      </c>
      <c r="B15" s="621"/>
      <c r="C15" s="621"/>
      <c r="D15" s="621"/>
      <c r="E15" s="621"/>
      <c r="F15" s="621"/>
      <c r="G15" s="621"/>
      <c r="H15" s="621"/>
      <c r="I15" s="621"/>
      <c r="J15" s="261"/>
      <c r="K15" s="261"/>
      <c r="L15" s="261"/>
      <c r="M15" s="261"/>
      <c r="N15" s="261"/>
      <c r="O15" s="261"/>
      <c r="P15" s="261"/>
      <c r="Q15" s="261"/>
      <c r="R15" s="261"/>
      <c r="S15" s="261"/>
      <c r="T15" s="261"/>
      <c r="U15" s="261"/>
      <c r="V15" s="261"/>
      <c r="W15" s="261"/>
      <c r="X15" s="261"/>
      <c r="Y15" s="261"/>
      <c r="Z15" s="261"/>
      <c r="AA15" s="261"/>
      <c r="AB15" s="261"/>
      <c r="AC15" s="261"/>
      <c r="AD15" s="261"/>
      <c r="AE15" s="261"/>
      <c r="AF15" s="261"/>
      <c r="AG15" s="261"/>
      <c r="AH15" s="261"/>
      <c r="AI15" s="261"/>
      <c r="AJ15" s="261"/>
      <c r="AK15" s="261"/>
      <c r="AL15" s="261"/>
      <c r="AM15" s="261"/>
      <c r="AN15" s="261"/>
      <c r="AO15" s="261"/>
      <c r="AP15" s="261"/>
      <c r="AQ15" s="261"/>
      <c r="AR15" s="261"/>
      <c r="AS15" s="261"/>
      <c r="AT15" s="261"/>
      <c r="AU15" s="261"/>
      <c r="AV15" s="261"/>
      <c r="AW15" s="261"/>
      <c r="AX15" s="261"/>
      <c r="AY15" s="261"/>
      <c r="AZ15" s="261"/>
      <c r="BA15" s="261"/>
      <c r="BB15" s="261"/>
      <c r="BC15" s="261"/>
      <c r="BD15" s="261"/>
      <c r="BE15" s="261"/>
      <c r="BF15" s="261"/>
      <c r="BG15" s="261"/>
      <c r="BH15" s="261"/>
      <c r="BI15" s="261"/>
      <c r="BJ15" s="261"/>
      <c r="BK15" s="261"/>
      <c r="BL15" s="261"/>
      <c r="BM15" s="261"/>
      <c r="BN15" s="261"/>
      <c r="BO15" s="261"/>
      <c r="BP15" s="261"/>
      <c r="BQ15" s="261"/>
      <c r="BR15" s="261"/>
      <c r="BS15" s="261"/>
    </row>
    <row r="16" spans="1:71" x14ac:dyDescent="0.4">
      <c r="A16" s="622" t="s">
        <v>883</v>
      </c>
      <c r="B16" s="622"/>
      <c r="C16" s="622"/>
      <c r="D16" s="622"/>
      <c r="E16" s="622"/>
      <c r="F16" s="622"/>
      <c r="G16" s="622"/>
      <c r="H16" s="622"/>
      <c r="I16" s="622"/>
      <c r="J16" s="261"/>
      <c r="K16" s="261"/>
      <c r="L16" s="261"/>
      <c r="M16" s="261"/>
      <c r="N16" s="261"/>
      <c r="O16" s="261"/>
      <c r="P16" s="261"/>
      <c r="Q16" s="261"/>
      <c r="R16" s="261"/>
      <c r="S16" s="261"/>
      <c r="T16" s="261"/>
      <c r="U16" s="261"/>
      <c r="V16" s="261"/>
      <c r="W16" s="261"/>
      <c r="X16" s="261"/>
      <c r="Y16" s="261"/>
      <c r="Z16" s="261"/>
      <c r="AA16" s="261"/>
      <c r="AB16" s="261"/>
      <c r="AC16" s="261"/>
      <c r="AD16" s="261"/>
      <c r="AE16" s="261"/>
      <c r="AF16" s="261"/>
      <c r="AG16" s="261"/>
      <c r="AH16" s="261"/>
      <c r="AI16" s="261"/>
      <c r="AJ16" s="261"/>
      <c r="AK16" s="261"/>
      <c r="AL16" s="261"/>
      <c r="AM16" s="261"/>
      <c r="AN16" s="261"/>
      <c r="AO16" s="261"/>
      <c r="AP16" s="261"/>
      <c r="AQ16" s="261"/>
      <c r="AR16" s="261"/>
      <c r="AS16" s="261"/>
      <c r="AT16" s="261"/>
      <c r="AU16" s="261"/>
      <c r="AV16" s="261"/>
      <c r="AW16" s="261"/>
      <c r="AX16" s="261"/>
      <c r="AY16" s="261"/>
      <c r="AZ16" s="261"/>
      <c r="BA16" s="261"/>
      <c r="BB16" s="261"/>
      <c r="BC16" s="261"/>
      <c r="BD16" s="261"/>
      <c r="BE16" s="261"/>
      <c r="BF16" s="261"/>
      <c r="BG16" s="261"/>
      <c r="BH16" s="261"/>
      <c r="BI16" s="261"/>
      <c r="BJ16" s="261"/>
      <c r="BK16" s="261"/>
      <c r="BL16" s="261"/>
      <c r="BM16" s="261"/>
      <c r="BN16" s="261"/>
      <c r="BO16" s="261"/>
      <c r="BP16" s="261"/>
      <c r="BQ16" s="261"/>
      <c r="BR16" s="261"/>
      <c r="BS16" s="261"/>
    </row>
    <row r="17" spans="1:71" x14ac:dyDescent="0.4">
      <c r="A17" s="623"/>
      <c r="B17" s="623"/>
      <c r="C17" s="623"/>
      <c r="D17" s="623"/>
      <c r="E17" s="623"/>
      <c r="F17" s="623"/>
      <c r="G17" s="623"/>
      <c r="H17" s="623"/>
      <c r="I17" s="623"/>
      <c r="J17" s="261"/>
      <c r="K17" s="261"/>
      <c r="L17" s="261"/>
      <c r="M17" s="261"/>
      <c r="N17" s="261"/>
      <c r="O17" s="261"/>
      <c r="P17" s="261"/>
      <c r="Q17" s="261"/>
      <c r="R17" s="261"/>
      <c r="S17" s="261"/>
      <c r="T17" s="261"/>
      <c r="U17" s="261"/>
      <c r="V17" s="261"/>
      <c r="W17" s="261"/>
      <c r="X17" s="261"/>
      <c r="Y17" s="261"/>
      <c r="Z17" s="261"/>
      <c r="AA17" s="261"/>
      <c r="AB17" s="261"/>
      <c r="AC17" s="261"/>
      <c r="AD17" s="261"/>
      <c r="AE17" s="261"/>
      <c r="AF17" s="261"/>
      <c r="AG17" s="261"/>
      <c r="AH17" s="261"/>
      <c r="AI17" s="261"/>
      <c r="AJ17" s="261"/>
      <c r="AK17" s="261"/>
      <c r="AL17" s="261"/>
      <c r="AM17" s="261"/>
      <c r="AN17" s="261"/>
      <c r="AO17" s="261"/>
      <c r="AP17" s="261"/>
      <c r="AQ17" s="261"/>
      <c r="AR17" s="261"/>
      <c r="AS17" s="261"/>
      <c r="AT17" s="261"/>
      <c r="AU17" s="261"/>
      <c r="AV17" s="261"/>
      <c r="AW17" s="261"/>
      <c r="AX17" s="261"/>
      <c r="AY17" s="261"/>
      <c r="AZ17" s="261"/>
      <c r="BA17" s="261"/>
      <c r="BB17" s="261"/>
      <c r="BC17" s="261"/>
      <c r="BD17" s="261"/>
      <c r="BE17" s="261"/>
      <c r="BF17" s="261"/>
      <c r="BG17" s="261"/>
      <c r="BH17" s="261"/>
      <c r="BI17" s="261"/>
      <c r="BJ17" s="261"/>
      <c r="BK17" s="261"/>
      <c r="BL17" s="261"/>
      <c r="BM17" s="261"/>
      <c r="BN17" s="261"/>
      <c r="BO17" s="261"/>
      <c r="BP17" s="261"/>
      <c r="BQ17" s="261"/>
      <c r="BR17" s="261"/>
      <c r="BS17" s="261"/>
    </row>
    <row r="18" spans="1:71" x14ac:dyDescent="0.4">
      <c r="A18" s="262"/>
      <c r="B18" s="262"/>
      <c r="C18" s="262"/>
      <c r="D18" s="262"/>
      <c r="E18" s="262"/>
      <c r="F18" s="263" t="s">
        <v>884</v>
      </c>
      <c r="G18" s="264"/>
      <c r="H18" s="264"/>
      <c r="I18" s="264"/>
      <c r="J18" s="264"/>
      <c r="K18" s="264"/>
      <c r="L18" s="264"/>
      <c r="M18" s="264"/>
      <c r="N18" s="264"/>
      <c r="O18" s="264"/>
      <c r="P18" s="264"/>
      <c r="Q18" s="264"/>
      <c r="R18" s="264"/>
      <c r="S18" s="264"/>
      <c r="T18" s="264"/>
      <c r="U18" s="264"/>
      <c r="V18" s="264"/>
      <c r="W18" s="264"/>
      <c r="X18" s="264"/>
      <c r="Y18" s="264"/>
      <c r="Z18" s="264"/>
      <c r="AA18" s="264"/>
      <c r="AB18" s="264"/>
      <c r="AC18" s="264"/>
      <c r="AD18" s="264"/>
      <c r="AE18" s="264"/>
      <c r="AF18" s="264"/>
      <c r="AG18" s="264"/>
      <c r="AH18" s="264"/>
      <c r="AI18" s="264"/>
      <c r="AJ18" s="264"/>
      <c r="AK18" s="264"/>
      <c r="AL18" s="264"/>
      <c r="AM18" s="264"/>
      <c r="AN18" s="264"/>
      <c r="AO18" s="264"/>
      <c r="AP18" s="264"/>
      <c r="AQ18" s="264"/>
      <c r="AR18" s="264"/>
      <c r="AS18" s="264"/>
      <c r="AT18" s="264"/>
      <c r="AU18" s="264"/>
      <c r="AV18" s="264"/>
      <c r="AW18" s="264"/>
      <c r="AX18" s="264"/>
      <c r="AY18" s="264"/>
      <c r="AZ18" s="264"/>
      <c r="BA18" s="264"/>
      <c r="BB18" s="264"/>
      <c r="BC18" s="264"/>
      <c r="BD18" s="264"/>
      <c r="BE18" s="264"/>
      <c r="BF18" s="264"/>
      <c r="BG18" s="264"/>
      <c r="BH18" s="264"/>
      <c r="BI18" s="264"/>
      <c r="BJ18" s="264"/>
      <c r="BK18" s="264"/>
      <c r="BL18" s="264"/>
      <c r="BM18" s="264"/>
      <c r="BN18" s="264"/>
      <c r="BO18" s="264"/>
      <c r="BP18" s="264"/>
      <c r="BQ18" s="264"/>
      <c r="BR18" s="264"/>
      <c r="BS18" s="265"/>
    </row>
    <row r="19" spans="1:71" ht="23.15" x14ac:dyDescent="0.4">
      <c r="A19" s="266" t="s">
        <v>885</v>
      </c>
      <c r="B19" s="266" t="s">
        <v>886</v>
      </c>
      <c r="C19" s="267" t="s">
        <v>887</v>
      </c>
      <c r="D19" s="267" t="s">
        <v>888</v>
      </c>
      <c r="E19" s="268" t="s">
        <v>889</v>
      </c>
      <c r="F19" s="269">
        <v>1950</v>
      </c>
      <c r="G19" s="269">
        <v>1951</v>
      </c>
      <c r="H19" s="269">
        <v>1952</v>
      </c>
      <c r="I19" s="269">
        <v>1953</v>
      </c>
      <c r="J19" s="269">
        <v>1954</v>
      </c>
      <c r="K19" s="269">
        <v>1955</v>
      </c>
      <c r="L19" s="269">
        <v>1956</v>
      </c>
      <c r="M19" s="269">
        <v>1957</v>
      </c>
      <c r="N19" s="269">
        <v>1958</v>
      </c>
      <c r="O19" s="269">
        <v>1959</v>
      </c>
      <c r="P19" s="269">
        <v>1960</v>
      </c>
      <c r="Q19" s="269">
        <v>1961</v>
      </c>
      <c r="R19" s="269">
        <v>1962</v>
      </c>
      <c r="S19" s="269">
        <v>1963</v>
      </c>
      <c r="T19" s="269">
        <v>1964</v>
      </c>
      <c r="U19" s="269">
        <v>1965</v>
      </c>
      <c r="V19" s="269">
        <v>1966</v>
      </c>
      <c r="W19" s="269">
        <v>1967</v>
      </c>
      <c r="X19" s="269">
        <v>1968</v>
      </c>
      <c r="Y19" s="269">
        <v>1969</v>
      </c>
      <c r="Z19" s="269">
        <v>1970</v>
      </c>
      <c r="AA19" s="269">
        <v>1971</v>
      </c>
      <c r="AB19" s="269">
        <v>1972</v>
      </c>
      <c r="AC19" s="269">
        <v>1973</v>
      </c>
      <c r="AD19" s="269">
        <v>1974</v>
      </c>
      <c r="AE19" s="269">
        <v>1975</v>
      </c>
      <c r="AF19" s="269">
        <v>1976</v>
      </c>
      <c r="AG19" s="269">
        <v>1977</v>
      </c>
      <c r="AH19" s="269">
        <v>1978</v>
      </c>
      <c r="AI19" s="269">
        <v>1979</v>
      </c>
      <c r="AJ19" s="269">
        <v>1980</v>
      </c>
      <c r="AK19" s="269">
        <v>1981</v>
      </c>
      <c r="AL19" s="269">
        <v>1982</v>
      </c>
      <c r="AM19" s="269">
        <v>1983</v>
      </c>
      <c r="AN19" s="269">
        <v>1984</v>
      </c>
      <c r="AO19" s="269">
        <v>1985</v>
      </c>
      <c r="AP19" s="269">
        <v>1986</v>
      </c>
      <c r="AQ19" s="269">
        <v>1987</v>
      </c>
      <c r="AR19" s="269">
        <v>1988</v>
      </c>
      <c r="AS19" s="269">
        <v>1989</v>
      </c>
      <c r="AT19" s="269">
        <v>1990</v>
      </c>
      <c r="AU19" s="269">
        <v>1991</v>
      </c>
      <c r="AV19" s="269">
        <v>1992</v>
      </c>
      <c r="AW19" s="269">
        <v>1993</v>
      </c>
      <c r="AX19" s="269">
        <v>1994</v>
      </c>
      <c r="AY19" s="269">
        <v>1995</v>
      </c>
      <c r="AZ19" s="269">
        <v>1996</v>
      </c>
      <c r="BA19" s="269">
        <v>1997</v>
      </c>
      <c r="BB19" s="269">
        <v>1998</v>
      </c>
      <c r="BC19" s="269">
        <v>1999</v>
      </c>
      <c r="BD19" s="269">
        <v>2000</v>
      </c>
      <c r="BE19" s="269">
        <v>2001</v>
      </c>
      <c r="BF19" s="269">
        <v>2002</v>
      </c>
      <c r="BG19" s="269">
        <v>2003</v>
      </c>
      <c r="BH19" s="269">
        <v>2004</v>
      </c>
      <c r="BI19" s="269">
        <v>2005</v>
      </c>
      <c r="BJ19" s="269">
        <v>2006</v>
      </c>
      <c r="BK19" s="269">
        <v>2007</v>
      </c>
      <c r="BL19" s="269">
        <v>2008</v>
      </c>
      <c r="BM19" s="269">
        <v>2009</v>
      </c>
      <c r="BN19" s="269">
        <v>2010</v>
      </c>
      <c r="BO19" s="269">
        <v>2011</v>
      </c>
      <c r="BP19" s="269">
        <v>2012</v>
      </c>
      <c r="BQ19" s="269">
        <v>2013</v>
      </c>
      <c r="BR19" s="269">
        <v>2014</v>
      </c>
      <c r="BS19" s="269">
        <v>2015</v>
      </c>
    </row>
    <row r="20" spans="1:71" x14ac:dyDescent="0.4">
      <c r="A20" s="270">
        <v>1</v>
      </c>
      <c r="B20" s="271" t="s">
        <v>890</v>
      </c>
      <c r="C20" s="272" t="s">
        <v>891</v>
      </c>
      <c r="D20" s="273"/>
      <c r="E20" s="273">
        <v>900</v>
      </c>
      <c r="F20" s="274">
        <v>2525149.3119999999</v>
      </c>
      <c r="G20" s="274">
        <v>2571867.5150000001</v>
      </c>
      <c r="H20" s="274">
        <v>2617940.3990000002</v>
      </c>
      <c r="I20" s="274">
        <v>2664029.0099999998</v>
      </c>
      <c r="J20" s="274">
        <v>2710677.773</v>
      </c>
      <c r="K20" s="274">
        <v>2758314.5249999999</v>
      </c>
      <c r="L20" s="274">
        <v>2807246.148</v>
      </c>
      <c r="M20" s="274">
        <v>2857662.91</v>
      </c>
      <c r="N20" s="274">
        <v>2909651.3960000002</v>
      </c>
      <c r="O20" s="274">
        <v>2963216.0529999998</v>
      </c>
      <c r="P20" s="274">
        <v>3018343.8280000002</v>
      </c>
      <c r="Q20" s="274">
        <v>3075073.173</v>
      </c>
      <c r="R20" s="274">
        <v>3133554.3620000002</v>
      </c>
      <c r="S20" s="274">
        <v>3194075.3470000001</v>
      </c>
      <c r="T20" s="274">
        <v>3256988.5010000002</v>
      </c>
      <c r="U20" s="274">
        <v>3322495.1209999998</v>
      </c>
      <c r="V20" s="274">
        <v>3390685.523</v>
      </c>
      <c r="W20" s="274">
        <v>3461343.1719999998</v>
      </c>
      <c r="X20" s="274">
        <v>3533966.9010000001</v>
      </c>
      <c r="Y20" s="274">
        <v>3607865.5129999998</v>
      </c>
      <c r="Z20" s="274">
        <v>3682487.6910000001</v>
      </c>
      <c r="AA20" s="274">
        <v>3757734.6680000001</v>
      </c>
      <c r="AB20" s="274">
        <v>3833594.8939999999</v>
      </c>
      <c r="AC20" s="274">
        <v>3909722.12</v>
      </c>
      <c r="AD20" s="274">
        <v>3985733.7749999999</v>
      </c>
      <c r="AE20" s="274">
        <v>4061399.2280000001</v>
      </c>
      <c r="AF20" s="274">
        <v>4136542.07</v>
      </c>
      <c r="AG20" s="274">
        <v>4211322.4270000001</v>
      </c>
      <c r="AH20" s="274">
        <v>4286282.4469999997</v>
      </c>
      <c r="AI20" s="274">
        <v>4362189.5310000004</v>
      </c>
      <c r="AJ20" s="274">
        <v>4439632.4649999999</v>
      </c>
      <c r="AK20" s="274">
        <v>4518602.0420000004</v>
      </c>
      <c r="AL20" s="274">
        <v>4599003.3739999998</v>
      </c>
      <c r="AM20" s="274">
        <v>4681210.5080000004</v>
      </c>
      <c r="AN20" s="274">
        <v>4765657.5619999999</v>
      </c>
      <c r="AO20" s="274">
        <v>4852540.5690000001</v>
      </c>
      <c r="AP20" s="274">
        <v>4942056.1179999998</v>
      </c>
      <c r="AQ20" s="274">
        <v>5033804.9440000001</v>
      </c>
      <c r="AR20" s="274">
        <v>5126632.6940000001</v>
      </c>
      <c r="AS20" s="274">
        <v>5218978.0190000003</v>
      </c>
      <c r="AT20" s="274">
        <v>5309667.699</v>
      </c>
      <c r="AU20" s="274">
        <v>5398328.7529999996</v>
      </c>
      <c r="AV20" s="274">
        <v>5485115.2759999996</v>
      </c>
      <c r="AW20" s="274">
        <v>5570045.3799999999</v>
      </c>
      <c r="AX20" s="274">
        <v>5653315.8930000002</v>
      </c>
      <c r="AY20" s="274">
        <v>5735123.0839999998</v>
      </c>
      <c r="AZ20" s="274">
        <v>5815392.3049999997</v>
      </c>
      <c r="BA20" s="274">
        <v>5894155.1050000004</v>
      </c>
      <c r="BB20" s="274">
        <v>5971882.8250000002</v>
      </c>
      <c r="BC20" s="274">
        <v>6049205.2029999997</v>
      </c>
      <c r="BD20" s="274">
        <v>6126622.1210000003</v>
      </c>
      <c r="BE20" s="274">
        <v>6204310.7390000001</v>
      </c>
      <c r="BF20" s="274">
        <v>6282301.767</v>
      </c>
      <c r="BG20" s="274">
        <v>6360764.6840000004</v>
      </c>
      <c r="BH20" s="274">
        <v>6439842.4079999998</v>
      </c>
      <c r="BI20" s="274">
        <v>6519635.8499999996</v>
      </c>
      <c r="BJ20" s="274">
        <v>6600220.2470000004</v>
      </c>
      <c r="BK20" s="274">
        <v>6681607.3200000003</v>
      </c>
      <c r="BL20" s="274">
        <v>6763732.8789999997</v>
      </c>
      <c r="BM20" s="274">
        <v>6846479.5209999997</v>
      </c>
      <c r="BN20" s="274">
        <v>6929725.0430000098</v>
      </c>
      <c r="BO20" s="274">
        <v>7013427.0520000001</v>
      </c>
      <c r="BP20" s="274">
        <v>7097500.4529999997</v>
      </c>
      <c r="BQ20" s="274">
        <v>7181715.1390000004</v>
      </c>
      <c r="BR20" s="274">
        <v>7265785.9460000005</v>
      </c>
      <c r="BS20" s="274">
        <v>7349472.0990000004</v>
      </c>
    </row>
    <row r="21" spans="1:71" x14ac:dyDescent="0.4">
      <c r="A21" s="270">
        <v>2</v>
      </c>
      <c r="B21" s="271" t="s">
        <v>890</v>
      </c>
      <c r="C21" s="275" t="s">
        <v>892</v>
      </c>
      <c r="D21" s="273" t="s">
        <v>893</v>
      </c>
      <c r="E21" s="273">
        <v>901</v>
      </c>
      <c r="F21" s="274">
        <v>812988.79</v>
      </c>
      <c r="G21" s="274">
        <v>822320.46400000004</v>
      </c>
      <c r="H21" s="274">
        <v>832148.69200000004</v>
      </c>
      <c r="I21" s="274">
        <v>842293.63800000004</v>
      </c>
      <c r="J21" s="274">
        <v>852613.42500000005</v>
      </c>
      <c r="K21" s="274">
        <v>863004.12</v>
      </c>
      <c r="L21" s="274">
        <v>873401.52899999998</v>
      </c>
      <c r="M21" s="274">
        <v>883779.40599999996</v>
      </c>
      <c r="N21" s="274">
        <v>894144.06900000002</v>
      </c>
      <c r="O21" s="274">
        <v>904525.51300000004</v>
      </c>
      <c r="P21" s="274">
        <v>914950.50800000003</v>
      </c>
      <c r="Q21" s="274">
        <v>925414.06799999997</v>
      </c>
      <c r="R21" s="274">
        <v>935854.35</v>
      </c>
      <c r="S21" s="274">
        <v>946141.97699999996</v>
      </c>
      <c r="T21" s="274">
        <v>956110.40099999995</v>
      </c>
      <c r="U21" s="274">
        <v>965645.33700000006</v>
      </c>
      <c r="V21" s="274">
        <v>974680.93700000003</v>
      </c>
      <c r="W21" s="274">
        <v>983258.22100000002</v>
      </c>
      <c r="X21" s="274">
        <v>991502.554</v>
      </c>
      <c r="Y21" s="274">
        <v>999599.55700000003</v>
      </c>
      <c r="Z21" s="274">
        <v>1007682.116</v>
      </c>
      <c r="AA21" s="274">
        <v>1015795.78</v>
      </c>
      <c r="AB21" s="274">
        <v>1023894.976</v>
      </c>
      <c r="AC21" s="274">
        <v>1031912.423</v>
      </c>
      <c r="AD21" s="274">
        <v>1039742.787</v>
      </c>
      <c r="AE21" s="274">
        <v>1047312.497</v>
      </c>
      <c r="AF21" s="274">
        <v>1054609.6680000001</v>
      </c>
      <c r="AG21" s="274">
        <v>1061671.2779999999</v>
      </c>
      <c r="AH21" s="274">
        <v>1068531.4939999999</v>
      </c>
      <c r="AI21" s="274">
        <v>1075241.8430000001</v>
      </c>
      <c r="AJ21" s="274">
        <v>1081843.798</v>
      </c>
      <c r="AK21" s="274">
        <v>1088334.8430000001</v>
      </c>
      <c r="AL21" s="274">
        <v>1094712.963</v>
      </c>
      <c r="AM21" s="274">
        <v>1101019.906</v>
      </c>
      <c r="AN21" s="274">
        <v>1107306.9979999999</v>
      </c>
      <c r="AO21" s="274">
        <v>1113604.801</v>
      </c>
      <c r="AP21" s="274">
        <v>1119932.08</v>
      </c>
      <c r="AQ21" s="274">
        <v>1126262.398</v>
      </c>
      <c r="AR21" s="274">
        <v>1132523.787</v>
      </c>
      <c r="AS21" s="274">
        <v>1138616.0109999999</v>
      </c>
      <c r="AT21" s="274">
        <v>1144463.0619999999</v>
      </c>
      <c r="AU21" s="274">
        <v>1150057.5260000001</v>
      </c>
      <c r="AV21" s="274">
        <v>1155411.9550000001</v>
      </c>
      <c r="AW21" s="274">
        <v>1160497.2009999999</v>
      </c>
      <c r="AX21" s="274">
        <v>1165283.6259999999</v>
      </c>
      <c r="AY21" s="274">
        <v>1169761.2109999999</v>
      </c>
      <c r="AZ21" s="274">
        <v>1173920.0430000001</v>
      </c>
      <c r="BA21" s="274">
        <v>1177796.6359999999</v>
      </c>
      <c r="BB21" s="274">
        <v>1181488.274</v>
      </c>
      <c r="BC21" s="274">
        <v>1185125.425</v>
      </c>
      <c r="BD21" s="274">
        <v>1188811.7309999999</v>
      </c>
      <c r="BE21" s="274">
        <v>1192558.2990000001</v>
      </c>
      <c r="BF21" s="274">
        <v>1196365.8319999999</v>
      </c>
      <c r="BG21" s="274">
        <v>1200310.5220000001</v>
      </c>
      <c r="BH21" s="274">
        <v>1204479.3529999999</v>
      </c>
      <c r="BI21" s="274">
        <v>1208919.5090000001</v>
      </c>
      <c r="BJ21" s="274">
        <v>1213682.9310000001</v>
      </c>
      <c r="BK21" s="274">
        <v>1218717.9539999999</v>
      </c>
      <c r="BL21" s="274">
        <v>1223838.1529999999</v>
      </c>
      <c r="BM21" s="274">
        <v>1228786.0959999999</v>
      </c>
      <c r="BN21" s="274">
        <v>1233375.7109999999</v>
      </c>
      <c r="BO21" s="274">
        <v>1237531.895</v>
      </c>
      <c r="BP21" s="274">
        <v>1241302.3049999999</v>
      </c>
      <c r="BQ21" s="274">
        <v>1244774.0120000001</v>
      </c>
      <c r="BR21" s="274">
        <v>1248089.4350000001</v>
      </c>
      <c r="BS21" s="274">
        <v>1251351.0859999999</v>
      </c>
    </row>
    <row r="22" spans="1:71" x14ac:dyDescent="0.4">
      <c r="A22" s="270">
        <v>3</v>
      </c>
      <c r="B22" s="271" t="s">
        <v>890</v>
      </c>
      <c r="C22" s="275" t="s">
        <v>894</v>
      </c>
      <c r="D22" s="273" t="s">
        <v>895</v>
      </c>
      <c r="E22" s="273">
        <v>902</v>
      </c>
      <c r="F22" s="274">
        <v>1712160.5220000001</v>
      </c>
      <c r="G22" s="274">
        <v>1749547.051</v>
      </c>
      <c r="H22" s="274">
        <v>1785791.7069999999</v>
      </c>
      <c r="I22" s="274">
        <v>1821735.372</v>
      </c>
      <c r="J22" s="274">
        <v>1858064.348</v>
      </c>
      <c r="K22" s="274">
        <v>1895310.405</v>
      </c>
      <c r="L22" s="274">
        <v>1933844.6189999999</v>
      </c>
      <c r="M22" s="274">
        <v>1973883.504</v>
      </c>
      <c r="N22" s="274">
        <v>2015507.327</v>
      </c>
      <c r="O22" s="274">
        <v>2058690.54</v>
      </c>
      <c r="P22" s="274">
        <v>2103393.3199999998</v>
      </c>
      <c r="Q22" s="274">
        <v>2149659.105</v>
      </c>
      <c r="R22" s="274">
        <v>2197700.0120000001</v>
      </c>
      <c r="S22" s="274">
        <v>2247933.37</v>
      </c>
      <c r="T22" s="274">
        <v>2300878.1</v>
      </c>
      <c r="U22" s="274">
        <v>2356849.784</v>
      </c>
      <c r="V22" s="274">
        <v>2416004.5860000001</v>
      </c>
      <c r="W22" s="274">
        <v>2478084.9509999999</v>
      </c>
      <c r="X22" s="274">
        <v>2542464.3470000001</v>
      </c>
      <c r="Y22" s="274">
        <v>2608265.9559999998</v>
      </c>
      <c r="Z22" s="274">
        <v>2674805.5750000002</v>
      </c>
      <c r="AA22" s="274">
        <v>2741938.8879999998</v>
      </c>
      <c r="AB22" s="274">
        <v>2809699.9180000001</v>
      </c>
      <c r="AC22" s="274">
        <v>2877809.6970000002</v>
      </c>
      <c r="AD22" s="274">
        <v>2945990.9879999999</v>
      </c>
      <c r="AE22" s="274">
        <v>3014086.7310000001</v>
      </c>
      <c r="AF22" s="274">
        <v>3081932.4019999998</v>
      </c>
      <c r="AG22" s="274">
        <v>3149651.1490000002</v>
      </c>
      <c r="AH22" s="274">
        <v>3217750.9530000002</v>
      </c>
      <c r="AI22" s="274">
        <v>3286947.6880000001</v>
      </c>
      <c r="AJ22" s="274">
        <v>3357788.6669999999</v>
      </c>
      <c r="AK22" s="274">
        <v>3430267.199</v>
      </c>
      <c r="AL22" s="274">
        <v>3504290.4109999998</v>
      </c>
      <c r="AM22" s="274">
        <v>3580190.602</v>
      </c>
      <c r="AN22" s="274">
        <v>3658350.5639999998</v>
      </c>
      <c r="AO22" s="274">
        <v>3738935.7680000002</v>
      </c>
      <c r="AP22" s="274">
        <v>3822124.0380000002</v>
      </c>
      <c r="AQ22" s="274">
        <v>3907542.5460000001</v>
      </c>
      <c r="AR22" s="274">
        <v>3994108.9070000001</v>
      </c>
      <c r="AS22" s="274">
        <v>4080362.0079999999</v>
      </c>
      <c r="AT22" s="274">
        <v>4165204.6370000001</v>
      </c>
      <c r="AU22" s="274">
        <v>4248271.227</v>
      </c>
      <c r="AV22" s="274">
        <v>4329703.3210000005</v>
      </c>
      <c r="AW22" s="274">
        <v>4409548.1789999995</v>
      </c>
      <c r="AX22" s="274">
        <v>4488032.267</v>
      </c>
      <c r="AY22" s="274">
        <v>4565361.8729999997</v>
      </c>
      <c r="AZ22" s="274">
        <v>4641472.2620000001</v>
      </c>
      <c r="BA22" s="274">
        <v>4716358.4689999996</v>
      </c>
      <c r="BB22" s="274">
        <v>4790394.551</v>
      </c>
      <c r="BC22" s="274">
        <v>4864079.7779999999</v>
      </c>
      <c r="BD22" s="274">
        <v>4937810.3899999997</v>
      </c>
      <c r="BE22" s="274">
        <v>5011752.4400000004</v>
      </c>
      <c r="BF22" s="274">
        <v>5085935.9349999996</v>
      </c>
      <c r="BG22" s="274">
        <v>5160454.1619999995</v>
      </c>
      <c r="BH22" s="274">
        <v>5235363.0549999997</v>
      </c>
      <c r="BI22" s="274">
        <v>5310716.341</v>
      </c>
      <c r="BJ22" s="274">
        <v>5386537.3159999996</v>
      </c>
      <c r="BK22" s="274">
        <v>5462889.3660000004</v>
      </c>
      <c r="BL22" s="274">
        <v>5539894.7259999998</v>
      </c>
      <c r="BM22" s="274">
        <v>5617693.4249999998</v>
      </c>
      <c r="BN22" s="274">
        <v>5696349.3320000097</v>
      </c>
      <c r="BO22" s="274">
        <v>5775895.1569999997</v>
      </c>
      <c r="BP22" s="274">
        <v>5856198.148</v>
      </c>
      <c r="BQ22" s="274">
        <v>5936941.1270000003</v>
      </c>
      <c r="BR22" s="274">
        <v>6017696.5109999999</v>
      </c>
      <c r="BS22" s="274">
        <v>6098121.0130000003</v>
      </c>
    </row>
    <row r="23" spans="1:71" x14ac:dyDescent="0.4">
      <c r="A23" s="270">
        <v>4</v>
      </c>
      <c r="B23" s="271" t="s">
        <v>890</v>
      </c>
      <c r="C23" s="276" t="s">
        <v>896</v>
      </c>
      <c r="D23" s="273" t="s">
        <v>897</v>
      </c>
      <c r="E23" s="273">
        <v>941</v>
      </c>
      <c r="F23" s="274">
        <v>195724.55499999999</v>
      </c>
      <c r="G23" s="274">
        <v>199494.22899999999</v>
      </c>
      <c r="H23" s="274">
        <v>203321.50599999999</v>
      </c>
      <c r="I23" s="274">
        <v>207277.514</v>
      </c>
      <c r="J23" s="274">
        <v>211416.65900000001</v>
      </c>
      <c r="K23" s="274">
        <v>215776.62599999999</v>
      </c>
      <c r="L23" s="274">
        <v>220377.61499999999</v>
      </c>
      <c r="M23" s="274">
        <v>225223.10500000001</v>
      </c>
      <c r="N23" s="274">
        <v>230302.049</v>
      </c>
      <c r="O23" s="274">
        <v>235592.52100000001</v>
      </c>
      <c r="P23" s="274">
        <v>241072.81400000001</v>
      </c>
      <c r="Q23" s="274">
        <v>246733.12400000001</v>
      </c>
      <c r="R23" s="274">
        <v>252585.90400000001</v>
      </c>
      <c r="S23" s="274">
        <v>258670.231</v>
      </c>
      <c r="T23" s="274">
        <v>265039.35999999999</v>
      </c>
      <c r="U23" s="274">
        <v>271723.89399999997</v>
      </c>
      <c r="V23" s="274">
        <v>278755.77399999998</v>
      </c>
      <c r="W23" s="274">
        <v>286104.46600000001</v>
      </c>
      <c r="X23" s="274">
        <v>293663.04200000002</v>
      </c>
      <c r="Y23" s="274">
        <v>301284.58399999997</v>
      </c>
      <c r="Z23" s="274">
        <v>308870.065</v>
      </c>
      <c r="AA23" s="274">
        <v>316378.185</v>
      </c>
      <c r="AB23" s="274">
        <v>323858.65899999999</v>
      </c>
      <c r="AC23" s="274">
        <v>331415.93599999999</v>
      </c>
      <c r="AD23" s="274">
        <v>339201.66</v>
      </c>
      <c r="AE23" s="274">
        <v>347328.80599999998</v>
      </c>
      <c r="AF23" s="274">
        <v>355839.31599999999</v>
      </c>
      <c r="AG23" s="274">
        <v>364711.97499999998</v>
      </c>
      <c r="AH23" s="274">
        <v>373921.37</v>
      </c>
      <c r="AI23" s="274">
        <v>383418.36900000001</v>
      </c>
      <c r="AJ23" s="274">
        <v>393172.01199999999</v>
      </c>
      <c r="AK23" s="274">
        <v>403186.70600000001</v>
      </c>
      <c r="AL23" s="274">
        <v>413495.92</v>
      </c>
      <c r="AM23" s="274">
        <v>424131.97600000002</v>
      </c>
      <c r="AN23" s="274">
        <v>435137.234</v>
      </c>
      <c r="AO23" s="274">
        <v>446546.15100000001</v>
      </c>
      <c r="AP23" s="274">
        <v>458352.45600000001</v>
      </c>
      <c r="AQ23" s="274">
        <v>470557.196</v>
      </c>
      <c r="AR23" s="274">
        <v>483208.054</v>
      </c>
      <c r="AS23" s="274">
        <v>496364.38799999998</v>
      </c>
      <c r="AT23" s="274">
        <v>510057.62900000002</v>
      </c>
      <c r="AU23" s="274">
        <v>524324.69900000002</v>
      </c>
      <c r="AV23" s="274">
        <v>539125.75600000005</v>
      </c>
      <c r="AW23" s="274">
        <v>554321.29700000002</v>
      </c>
      <c r="AX23" s="274">
        <v>569720.37399999995</v>
      </c>
      <c r="AY23" s="274">
        <v>585189.35400000005</v>
      </c>
      <c r="AZ23" s="274">
        <v>600664.66500000004</v>
      </c>
      <c r="BA23" s="274">
        <v>616192.978</v>
      </c>
      <c r="BB23" s="274">
        <v>631885.76599999995</v>
      </c>
      <c r="BC23" s="274">
        <v>647910.647</v>
      </c>
      <c r="BD23" s="274">
        <v>664386.08700000006</v>
      </c>
      <c r="BE23" s="274">
        <v>681362.48400000005</v>
      </c>
      <c r="BF23" s="274">
        <v>698794.94299999997</v>
      </c>
      <c r="BG23" s="274">
        <v>716594.05</v>
      </c>
      <c r="BH23" s="274">
        <v>734626.51100000006</v>
      </c>
      <c r="BI23" s="274">
        <v>752804.951</v>
      </c>
      <c r="BJ23" s="274">
        <v>771094.42799999996</v>
      </c>
      <c r="BK23" s="274">
        <v>789552.73100000003</v>
      </c>
      <c r="BL23" s="274">
        <v>808296.99</v>
      </c>
      <c r="BM23" s="274">
        <v>827491.79500000004</v>
      </c>
      <c r="BN23" s="274">
        <v>847254.84699999995</v>
      </c>
      <c r="BO23" s="274">
        <v>867623.5</v>
      </c>
      <c r="BP23" s="274">
        <v>888559.745</v>
      </c>
      <c r="BQ23" s="274">
        <v>910012.84</v>
      </c>
      <c r="BR23" s="274">
        <v>931900.321</v>
      </c>
      <c r="BS23" s="274">
        <v>954157.804</v>
      </c>
    </row>
    <row r="24" spans="1:71" x14ac:dyDescent="0.4">
      <c r="A24" s="270">
        <v>5</v>
      </c>
      <c r="B24" s="271" t="s">
        <v>890</v>
      </c>
      <c r="C24" s="276" t="s">
        <v>898</v>
      </c>
      <c r="D24" s="273" t="s">
        <v>899</v>
      </c>
      <c r="E24" s="273">
        <v>934</v>
      </c>
      <c r="F24" s="274">
        <v>1516435.9669999999</v>
      </c>
      <c r="G24" s="274">
        <v>1550052.8219999999</v>
      </c>
      <c r="H24" s="274">
        <v>1582470.2009999999</v>
      </c>
      <c r="I24" s="274">
        <v>1614457.858</v>
      </c>
      <c r="J24" s="274">
        <v>1646647.689</v>
      </c>
      <c r="K24" s="274">
        <v>1679533.7790000001</v>
      </c>
      <c r="L24" s="274">
        <v>1713467.004</v>
      </c>
      <c r="M24" s="274">
        <v>1748660.399</v>
      </c>
      <c r="N24" s="274">
        <v>1785205.2779999999</v>
      </c>
      <c r="O24" s="274">
        <v>1823098.0190000001</v>
      </c>
      <c r="P24" s="274">
        <v>1862320.5060000001</v>
      </c>
      <c r="Q24" s="274">
        <v>1902925.9809999999</v>
      </c>
      <c r="R24" s="274">
        <v>1945114.108</v>
      </c>
      <c r="S24" s="274">
        <v>1989263.139</v>
      </c>
      <c r="T24" s="274">
        <v>2035838.74</v>
      </c>
      <c r="U24" s="274">
        <v>2085125.89</v>
      </c>
      <c r="V24" s="274">
        <v>2137248.8119999999</v>
      </c>
      <c r="W24" s="274">
        <v>2191980.4849999999</v>
      </c>
      <c r="X24" s="274">
        <v>2248801.3050000002</v>
      </c>
      <c r="Y24" s="274">
        <v>2306981.372</v>
      </c>
      <c r="Z24" s="274">
        <v>2365935.5099999998</v>
      </c>
      <c r="AA24" s="274">
        <v>2425560.7030000002</v>
      </c>
      <c r="AB24" s="274">
        <v>2485841.2590000001</v>
      </c>
      <c r="AC24" s="274">
        <v>2546393.7609999999</v>
      </c>
      <c r="AD24" s="274">
        <v>2606789.3280000002</v>
      </c>
      <c r="AE24" s="274">
        <v>2666757.9249999998</v>
      </c>
      <c r="AF24" s="274">
        <v>2726093.0860000001</v>
      </c>
      <c r="AG24" s="274">
        <v>2784939.1740000001</v>
      </c>
      <c r="AH24" s="274">
        <v>2843829.5830000001</v>
      </c>
      <c r="AI24" s="274">
        <v>2903529.3190000001</v>
      </c>
      <c r="AJ24" s="274">
        <v>2964616.6549999998</v>
      </c>
      <c r="AK24" s="274">
        <v>3027080.4929999998</v>
      </c>
      <c r="AL24" s="274">
        <v>3090794.4909999999</v>
      </c>
      <c r="AM24" s="274">
        <v>3156058.6260000002</v>
      </c>
      <c r="AN24" s="274">
        <v>3223213.33</v>
      </c>
      <c r="AO24" s="274">
        <v>3292389.6170000001</v>
      </c>
      <c r="AP24" s="274">
        <v>3363771.5819999999</v>
      </c>
      <c r="AQ24" s="274">
        <v>3436985.35</v>
      </c>
      <c r="AR24" s="274">
        <v>3510900.8530000001</v>
      </c>
      <c r="AS24" s="274">
        <v>3583997.62</v>
      </c>
      <c r="AT24" s="274">
        <v>3655147.0079999999</v>
      </c>
      <c r="AU24" s="274">
        <v>3723946.5279999999</v>
      </c>
      <c r="AV24" s="274">
        <v>3790577.5649999999</v>
      </c>
      <c r="AW24" s="274">
        <v>3855226.8820000002</v>
      </c>
      <c r="AX24" s="274">
        <v>3918311.8930000002</v>
      </c>
      <c r="AY24" s="274">
        <v>3980172.5189999999</v>
      </c>
      <c r="AZ24" s="274">
        <v>4040807.5970000001</v>
      </c>
      <c r="BA24" s="274">
        <v>4100165.4909999999</v>
      </c>
      <c r="BB24" s="274">
        <v>4158508.7850000001</v>
      </c>
      <c r="BC24" s="274">
        <v>4216169.1310000001</v>
      </c>
      <c r="BD24" s="274">
        <v>4273424.3030000003</v>
      </c>
      <c r="BE24" s="274">
        <v>4330389.9560000002</v>
      </c>
      <c r="BF24" s="274">
        <v>4387140.9919999996</v>
      </c>
      <c r="BG24" s="274">
        <v>4443860.1119999997</v>
      </c>
      <c r="BH24" s="274">
        <v>4500736.5439999998</v>
      </c>
      <c r="BI24" s="274">
        <v>4557911.3899999997</v>
      </c>
      <c r="BJ24" s="274">
        <v>4615442.8880000003</v>
      </c>
      <c r="BK24" s="274">
        <v>4673336.6349999998</v>
      </c>
      <c r="BL24" s="274">
        <v>4731597.7359999996</v>
      </c>
      <c r="BM24" s="274">
        <v>4790201.63</v>
      </c>
      <c r="BN24" s="274">
        <v>4849094.4850000003</v>
      </c>
      <c r="BO24" s="274">
        <v>4908271.6569999997</v>
      </c>
      <c r="BP24" s="274">
        <v>4967638.4029999999</v>
      </c>
      <c r="BQ24" s="274">
        <v>5026928.2869999995</v>
      </c>
      <c r="BR24" s="274">
        <v>5085796.1900000004</v>
      </c>
      <c r="BS24" s="274">
        <v>5143963.2089999998</v>
      </c>
    </row>
    <row r="25" spans="1:71" x14ac:dyDescent="0.4">
      <c r="A25" s="270">
        <v>6</v>
      </c>
      <c r="B25" s="271" t="s">
        <v>890</v>
      </c>
      <c r="C25" s="275" t="s">
        <v>900</v>
      </c>
      <c r="D25" s="273"/>
      <c r="E25" s="273">
        <v>948</v>
      </c>
      <c r="F25" s="274">
        <v>1158315.2560000001</v>
      </c>
      <c r="G25" s="274">
        <v>1180687.6510000001</v>
      </c>
      <c r="H25" s="274">
        <v>1204645.827</v>
      </c>
      <c r="I25" s="274">
        <v>1230101.8389999999</v>
      </c>
      <c r="J25" s="274">
        <v>1256979.0449999999</v>
      </c>
      <c r="K25" s="274">
        <v>1285212.145</v>
      </c>
      <c r="L25" s="274">
        <v>1314747.52</v>
      </c>
      <c r="M25" s="274">
        <v>1345542.8670000001</v>
      </c>
      <c r="N25" s="274">
        <v>1377566.0560000001</v>
      </c>
      <c r="O25" s="274">
        <v>1410793.1440000001</v>
      </c>
      <c r="P25" s="274">
        <v>1445202.6229999999</v>
      </c>
      <c r="Q25" s="274">
        <v>1480769.193</v>
      </c>
      <c r="R25" s="274">
        <v>1517458.3810000001</v>
      </c>
      <c r="S25" s="274">
        <v>1555224.1610000001</v>
      </c>
      <c r="T25" s="274">
        <v>1594015.5870000001</v>
      </c>
      <c r="U25" s="274">
        <v>1633796.139</v>
      </c>
      <c r="V25" s="274">
        <v>1674544.7990000001</v>
      </c>
      <c r="W25" s="274">
        <v>1716265.277</v>
      </c>
      <c r="X25" s="274">
        <v>1758979.108</v>
      </c>
      <c r="Y25" s="274">
        <v>1802722.702</v>
      </c>
      <c r="Z25" s="274">
        <v>1847526.571</v>
      </c>
      <c r="AA25" s="274">
        <v>1893412.514</v>
      </c>
      <c r="AB25" s="274">
        <v>1940386.5449999999</v>
      </c>
      <c r="AC25" s="274">
        <v>1988448.003</v>
      </c>
      <c r="AD25" s="274">
        <v>2037590.669</v>
      </c>
      <c r="AE25" s="274">
        <v>2087822.4539999999</v>
      </c>
      <c r="AF25" s="274">
        <v>2139100.4509999999</v>
      </c>
      <c r="AG25" s="274">
        <v>2191457.5389999999</v>
      </c>
      <c r="AH25" s="274">
        <v>2245063.7969999998</v>
      </c>
      <c r="AI25" s="274">
        <v>2300145.446</v>
      </c>
      <c r="AJ25" s="274">
        <v>2356841.5690000001</v>
      </c>
      <c r="AK25" s="274">
        <v>2415181.8870000001</v>
      </c>
      <c r="AL25" s="274">
        <v>2475043.5690000001</v>
      </c>
      <c r="AM25" s="274">
        <v>2536216.821</v>
      </c>
      <c r="AN25" s="274">
        <v>2598409.747</v>
      </c>
      <c r="AO25" s="274">
        <v>2661376.8259999999</v>
      </c>
      <c r="AP25" s="274">
        <v>2725039.804</v>
      </c>
      <c r="AQ25" s="274">
        <v>2789347.0469999998</v>
      </c>
      <c r="AR25" s="274">
        <v>2854110.0380000002</v>
      </c>
      <c r="AS25" s="274">
        <v>2919118.6680000001</v>
      </c>
      <c r="AT25" s="274">
        <v>2984212.7409999999</v>
      </c>
      <c r="AU25" s="274">
        <v>3049294.9389999998</v>
      </c>
      <c r="AV25" s="274">
        <v>3114349.2349999999</v>
      </c>
      <c r="AW25" s="274">
        <v>3179406.2769999998</v>
      </c>
      <c r="AX25" s="274">
        <v>3244543.0490000001</v>
      </c>
      <c r="AY25" s="274">
        <v>3309821.9139999999</v>
      </c>
      <c r="AZ25" s="274">
        <v>3375244.7769999998</v>
      </c>
      <c r="BA25" s="274">
        <v>3440799.3810000001</v>
      </c>
      <c r="BB25" s="274">
        <v>3506524.9270000001</v>
      </c>
      <c r="BC25" s="274">
        <v>3572471</v>
      </c>
      <c r="BD25" s="274">
        <v>3638684.9649999999</v>
      </c>
      <c r="BE25" s="274">
        <v>3705194.6329999999</v>
      </c>
      <c r="BF25" s="274">
        <v>3772031.7149999999</v>
      </c>
      <c r="BG25" s="274">
        <v>3839253.341</v>
      </c>
      <c r="BH25" s="274">
        <v>3906924.4959999998</v>
      </c>
      <c r="BI25" s="274">
        <v>3975101.0380000002</v>
      </c>
      <c r="BJ25" s="274">
        <v>4043771.3059999999</v>
      </c>
      <c r="BK25" s="274">
        <v>4112950.156</v>
      </c>
      <c r="BL25" s="274">
        <v>4182744.4789999998</v>
      </c>
      <c r="BM25" s="274">
        <v>4253287.7529999996</v>
      </c>
      <c r="BN25" s="274">
        <v>4324651.9939999999</v>
      </c>
      <c r="BO25" s="274">
        <v>4396870.9989999998</v>
      </c>
      <c r="BP25" s="274">
        <v>4469848.1289999997</v>
      </c>
      <c r="BQ25" s="274">
        <v>4543358.1780000003</v>
      </c>
      <c r="BR25" s="274">
        <v>4617094.3049999997</v>
      </c>
      <c r="BS25" s="274">
        <v>4690815.443</v>
      </c>
    </row>
    <row r="26" spans="1:71" x14ac:dyDescent="0.4">
      <c r="A26" s="270">
        <v>7</v>
      </c>
      <c r="B26" s="271" t="s">
        <v>890</v>
      </c>
      <c r="C26" s="275" t="s">
        <v>901</v>
      </c>
      <c r="D26" s="273" t="s">
        <v>902</v>
      </c>
      <c r="E26" s="273">
        <v>1503</v>
      </c>
      <c r="F26" s="274">
        <v>800383.36699999997</v>
      </c>
      <c r="G26" s="274">
        <v>810059.25600000005</v>
      </c>
      <c r="H26" s="274">
        <v>820444.88399999996</v>
      </c>
      <c r="I26" s="274">
        <v>831322.73699999996</v>
      </c>
      <c r="J26" s="274">
        <v>842518.77800000005</v>
      </c>
      <c r="K26" s="274">
        <v>853902.40800000005</v>
      </c>
      <c r="L26" s="274">
        <v>865388.45799999998</v>
      </c>
      <c r="M26" s="274">
        <v>876935.228</v>
      </c>
      <c r="N26" s="274">
        <v>888538.52899999998</v>
      </c>
      <c r="O26" s="274">
        <v>900221.87899999996</v>
      </c>
      <c r="P26" s="274">
        <v>912006.76500000001</v>
      </c>
      <c r="Q26" s="274">
        <v>923881.20900000003</v>
      </c>
      <c r="R26" s="274">
        <v>935771.99300000002</v>
      </c>
      <c r="S26" s="274">
        <v>947532.89399999997</v>
      </c>
      <c r="T26" s="274">
        <v>958978.20799999998</v>
      </c>
      <c r="U26" s="274">
        <v>969981.5</v>
      </c>
      <c r="V26" s="274">
        <v>980469.22499999998</v>
      </c>
      <c r="W26" s="274">
        <v>990489.05599999998</v>
      </c>
      <c r="X26" s="274">
        <v>1000187.235</v>
      </c>
      <c r="Y26" s="274">
        <v>1009779.4350000001</v>
      </c>
      <c r="Z26" s="274">
        <v>1019422.062</v>
      </c>
      <c r="AA26" s="274">
        <v>1029167.3860000001</v>
      </c>
      <c r="AB26" s="274">
        <v>1038968.895</v>
      </c>
      <c r="AC26" s="274">
        <v>1048765.96</v>
      </c>
      <c r="AD26" s="274">
        <v>1058458.8119999999</v>
      </c>
      <c r="AE26" s="274">
        <v>1067978.044</v>
      </c>
      <c r="AF26" s="274">
        <v>1077312.243</v>
      </c>
      <c r="AG26" s="274">
        <v>1086499.061</v>
      </c>
      <c r="AH26" s="274">
        <v>1095575.96</v>
      </c>
      <c r="AI26" s="274">
        <v>1104597.791</v>
      </c>
      <c r="AJ26" s="274">
        <v>1113605.4839999999</v>
      </c>
      <c r="AK26" s="274">
        <v>1122604.567</v>
      </c>
      <c r="AL26" s="274">
        <v>1131585.368</v>
      </c>
      <c r="AM26" s="274">
        <v>1140554.561</v>
      </c>
      <c r="AN26" s="274">
        <v>1149516.5220000001</v>
      </c>
      <c r="AO26" s="274">
        <v>1158470.5049999999</v>
      </c>
      <c r="AP26" s="274">
        <v>1167419.5209999999</v>
      </c>
      <c r="AQ26" s="274">
        <v>1176352.9310000001</v>
      </c>
      <c r="AR26" s="274">
        <v>1185238.0290000001</v>
      </c>
      <c r="AS26" s="274">
        <v>1194031.22</v>
      </c>
      <c r="AT26" s="274">
        <v>1202697.827</v>
      </c>
      <c r="AU26" s="274">
        <v>1211240.166</v>
      </c>
      <c r="AV26" s="274">
        <v>1219659.0279999999</v>
      </c>
      <c r="AW26" s="274">
        <v>1227918.608</v>
      </c>
      <c r="AX26" s="274">
        <v>1235975.5349999999</v>
      </c>
      <c r="AY26" s="274">
        <v>1243807.503</v>
      </c>
      <c r="AZ26" s="274">
        <v>1251412.895</v>
      </c>
      <c r="BA26" s="274">
        <v>1258827.9820000001</v>
      </c>
      <c r="BB26" s="274">
        <v>1266118.8810000001</v>
      </c>
      <c r="BC26" s="274">
        <v>1273374.7720000001</v>
      </c>
      <c r="BD26" s="274">
        <v>1280673.3130000001</v>
      </c>
      <c r="BE26" s="274">
        <v>1287991.97</v>
      </c>
      <c r="BF26" s="274">
        <v>1295345.6359999999</v>
      </c>
      <c r="BG26" s="274">
        <v>1302888.8319999999</v>
      </c>
      <c r="BH26" s="274">
        <v>1310818.2239999999</v>
      </c>
      <c r="BI26" s="274">
        <v>1319249.416</v>
      </c>
      <c r="BJ26" s="274">
        <v>1328265.888</v>
      </c>
      <c r="BK26" s="274">
        <v>1337760.8689999999</v>
      </c>
      <c r="BL26" s="274">
        <v>1347423.0919999999</v>
      </c>
      <c r="BM26" s="274">
        <v>1356821.675</v>
      </c>
      <c r="BN26" s="274">
        <v>1365642.7379999999</v>
      </c>
      <c r="BO26" s="274">
        <v>1373768.6459999999</v>
      </c>
      <c r="BP26" s="274">
        <v>1381273.74</v>
      </c>
      <c r="BQ26" s="274">
        <v>1388271.898</v>
      </c>
      <c r="BR26" s="274">
        <v>1394958.9240000001</v>
      </c>
      <c r="BS26" s="274">
        <v>1401479.077</v>
      </c>
    </row>
    <row r="27" spans="1:71" x14ac:dyDescent="0.4">
      <c r="A27" s="270">
        <v>8</v>
      </c>
      <c r="B27" s="271" t="s">
        <v>890</v>
      </c>
      <c r="C27" s="275" t="s">
        <v>903</v>
      </c>
      <c r="D27" s="273" t="s">
        <v>902</v>
      </c>
      <c r="E27" s="273">
        <v>1517</v>
      </c>
      <c r="F27" s="274">
        <v>1593830.324</v>
      </c>
      <c r="G27" s="274">
        <v>1628935.8640000001</v>
      </c>
      <c r="H27" s="274">
        <v>1662526.452</v>
      </c>
      <c r="I27" s="274">
        <v>1695455.9350000001</v>
      </c>
      <c r="J27" s="274">
        <v>1728428.6410000001</v>
      </c>
      <c r="K27" s="274">
        <v>1761999.422</v>
      </c>
      <c r="L27" s="274">
        <v>1796567.953</v>
      </c>
      <c r="M27" s="274">
        <v>1832384.409</v>
      </c>
      <c r="N27" s="274">
        <v>1869566.412</v>
      </c>
      <c r="O27" s="274">
        <v>1908127.321</v>
      </c>
      <c r="P27" s="274">
        <v>1948061.0530000001</v>
      </c>
      <c r="Q27" s="274">
        <v>1989432.5009999999</v>
      </c>
      <c r="R27" s="274">
        <v>2032456.757</v>
      </c>
      <c r="S27" s="274">
        <v>2077533.0090000001</v>
      </c>
      <c r="T27" s="274">
        <v>2125148.3939999999</v>
      </c>
      <c r="U27" s="274">
        <v>2175595.35</v>
      </c>
      <c r="V27" s="274">
        <v>2229031.159</v>
      </c>
      <c r="W27" s="274">
        <v>2285208.6630000002</v>
      </c>
      <c r="X27" s="274">
        <v>2343498.1869999999</v>
      </c>
      <c r="Y27" s="274">
        <v>2403019.9530000002</v>
      </c>
      <c r="Z27" s="274">
        <v>2463089.58</v>
      </c>
      <c r="AA27" s="274">
        <v>2523551.6809999999</v>
      </c>
      <c r="AB27" s="274">
        <v>2584444.2149999999</v>
      </c>
      <c r="AC27" s="274">
        <v>2645520.62</v>
      </c>
      <c r="AD27" s="274">
        <v>2706547.702</v>
      </c>
      <c r="AE27" s="274">
        <v>2767395.4789999998</v>
      </c>
      <c r="AF27" s="274">
        <v>2827906.7579999999</v>
      </c>
      <c r="AG27" s="274">
        <v>2888180.7459999998</v>
      </c>
      <c r="AH27" s="274">
        <v>2948681.6269999999</v>
      </c>
      <c r="AI27" s="274">
        <v>3010064.5010000002</v>
      </c>
      <c r="AJ27" s="274">
        <v>3072827.5890000002</v>
      </c>
      <c r="AK27" s="274">
        <v>3136939.662</v>
      </c>
      <c r="AL27" s="274">
        <v>3202301.486</v>
      </c>
      <c r="AM27" s="274">
        <v>3269235.3</v>
      </c>
      <c r="AN27" s="274">
        <v>3338119.1660000002</v>
      </c>
      <c r="AO27" s="274">
        <v>3409109.1379999998</v>
      </c>
      <c r="AP27" s="274">
        <v>3482386.2239999999</v>
      </c>
      <c r="AQ27" s="274">
        <v>3557556.8560000001</v>
      </c>
      <c r="AR27" s="274">
        <v>3633479.014</v>
      </c>
      <c r="AS27" s="274">
        <v>3708615.7689999999</v>
      </c>
      <c r="AT27" s="274">
        <v>3781821.7689999999</v>
      </c>
      <c r="AU27" s="274">
        <v>3852696.3360000001</v>
      </c>
      <c r="AV27" s="274">
        <v>3921410.338</v>
      </c>
      <c r="AW27" s="274">
        <v>3988107.0440000002</v>
      </c>
      <c r="AX27" s="274">
        <v>4053148.6120000002</v>
      </c>
      <c r="AY27" s="274">
        <v>4116837.5219999999</v>
      </c>
      <c r="AZ27" s="274">
        <v>4179138.0729999999</v>
      </c>
      <c r="BA27" s="274">
        <v>4240010.6129999999</v>
      </c>
      <c r="BB27" s="274">
        <v>4299782.875</v>
      </c>
      <c r="BC27" s="274">
        <v>4358880.8049999997</v>
      </c>
      <c r="BD27" s="274">
        <v>4417642.8370000003</v>
      </c>
      <c r="BE27" s="274">
        <v>4476238.1370000001</v>
      </c>
      <c r="BF27" s="274">
        <v>4534704.7340000002</v>
      </c>
      <c r="BG27" s="274">
        <v>4593089.199</v>
      </c>
      <c r="BH27" s="274">
        <v>4651390.432</v>
      </c>
      <c r="BI27" s="274">
        <v>4709628.2709999997</v>
      </c>
      <c r="BJ27" s="274">
        <v>4767807.307</v>
      </c>
      <c r="BK27" s="274">
        <v>4826020.9050000003</v>
      </c>
      <c r="BL27" s="274">
        <v>4884468.3789999997</v>
      </c>
      <c r="BM27" s="274">
        <v>4943397.1169999996</v>
      </c>
      <c r="BN27" s="274">
        <v>5002954.1660000002</v>
      </c>
      <c r="BO27" s="274">
        <v>5063197.5559999999</v>
      </c>
      <c r="BP27" s="274">
        <v>5123990.4249999998</v>
      </c>
      <c r="BQ27" s="274">
        <v>5185033.2089999998</v>
      </c>
      <c r="BR27" s="274">
        <v>5245909.4970000004</v>
      </c>
      <c r="BS27" s="274">
        <v>5306282.966</v>
      </c>
    </row>
    <row r="28" spans="1:71" x14ac:dyDescent="0.4">
      <c r="A28" s="270">
        <v>9</v>
      </c>
      <c r="B28" s="271" t="s">
        <v>890</v>
      </c>
      <c r="C28" s="276" t="s">
        <v>904</v>
      </c>
      <c r="D28" s="273" t="s">
        <v>902</v>
      </c>
      <c r="E28" s="273">
        <v>1502</v>
      </c>
      <c r="F28" s="274">
        <v>824937.31400000001</v>
      </c>
      <c r="G28" s="274">
        <v>846501.49399999995</v>
      </c>
      <c r="H28" s="274">
        <v>865620.47499999998</v>
      </c>
      <c r="I28" s="274">
        <v>883201.75699999998</v>
      </c>
      <c r="J28" s="274">
        <v>899992.696</v>
      </c>
      <c r="K28" s="274">
        <v>916580.53500000003</v>
      </c>
      <c r="L28" s="274">
        <v>933386.19299999997</v>
      </c>
      <c r="M28" s="274">
        <v>950670.47400000005</v>
      </c>
      <c r="N28" s="274">
        <v>968552.53200000001</v>
      </c>
      <c r="O28" s="274">
        <v>987040.75899999996</v>
      </c>
      <c r="P28" s="274">
        <v>1006125.291</v>
      </c>
      <c r="Q28" s="274">
        <v>1025876.711</v>
      </c>
      <c r="R28" s="274">
        <v>1046532.438</v>
      </c>
      <c r="S28" s="274">
        <v>1068533.7080000001</v>
      </c>
      <c r="T28" s="274">
        <v>1092420.71</v>
      </c>
      <c r="U28" s="274">
        <v>1118524.1850000001</v>
      </c>
      <c r="V28" s="274">
        <v>1147006.4890000001</v>
      </c>
      <c r="W28" s="274">
        <v>1177610.3060000001</v>
      </c>
      <c r="X28" s="274">
        <v>1209707.3370000001</v>
      </c>
      <c r="Y28" s="274">
        <v>1242414.4569999999</v>
      </c>
      <c r="Z28" s="274">
        <v>1275035.4939999999</v>
      </c>
      <c r="AA28" s="274">
        <v>1307419.23</v>
      </c>
      <c r="AB28" s="274">
        <v>1339578.196</v>
      </c>
      <c r="AC28" s="274">
        <v>1371186.53</v>
      </c>
      <c r="AD28" s="274">
        <v>1401907.7220000001</v>
      </c>
      <c r="AE28" s="274">
        <v>1431534.0190000001</v>
      </c>
      <c r="AF28" s="274">
        <v>1459906.175</v>
      </c>
      <c r="AG28" s="274">
        <v>1487136.6240000001</v>
      </c>
      <c r="AH28" s="274">
        <v>1513651.37</v>
      </c>
      <c r="AI28" s="274">
        <v>1540064.4539999999</v>
      </c>
      <c r="AJ28" s="274">
        <v>1566864.1980000001</v>
      </c>
      <c r="AK28" s="274">
        <v>1594022.5149999999</v>
      </c>
      <c r="AL28" s="274">
        <v>1621508.149</v>
      </c>
      <c r="AM28" s="274">
        <v>1649784.7960000001</v>
      </c>
      <c r="AN28" s="274">
        <v>1679416.61</v>
      </c>
      <c r="AO28" s="274">
        <v>1710716.6640000001</v>
      </c>
      <c r="AP28" s="274">
        <v>1743933.6040000001</v>
      </c>
      <c r="AQ28" s="274">
        <v>1778716.6769999999</v>
      </c>
      <c r="AR28" s="274">
        <v>1814026.2960000001</v>
      </c>
      <c r="AS28" s="274">
        <v>1848432.1470000001</v>
      </c>
      <c r="AT28" s="274">
        <v>1880875.4879999999</v>
      </c>
      <c r="AU28" s="274">
        <v>1911017.2879999999</v>
      </c>
      <c r="AV28" s="274">
        <v>1939059.848</v>
      </c>
      <c r="AW28" s="274">
        <v>1965159.9450000001</v>
      </c>
      <c r="AX28" s="274">
        <v>1989674.7890000001</v>
      </c>
      <c r="AY28" s="274">
        <v>2012903.0830000001</v>
      </c>
      <c r="AZ28" s="274">
        <v>2034821.0630000001</v>
      </c>
      <c r="BA28" s="274">
        <v>2055402.19</v>
      </c>
      <c r="BB28" s="274">
        <v>2074967.7009999999</v>
      </c>
      <c r="BC28" s="274">
        <v>2093930.2749999999</v>
      </c>
      <c r="BD28" s="274">
        <v>2112611.9900000002</v>
      </c>
      <c r="BE28" s="274">
        <v>2131179.7119999998</v>
      </c>
      <c r="BF28" s="274">
        <v>2149654.8020000001</v>
      </c>
      <c r="BG28" s="274">
        <v>2168033.9389999998</v>
      </c>
      <c r="BH28" s="274">
        <v>2186252.432</v>
      </c>
      <c r="BI28" s="274">
        <v>2204280.3429999999</v>
      </c>
      <c r="BJ28" s="274">
        <v>2222097.06</v>
      </c>
      <c r="BK28" s="274">
        <v>2239792.051</v>
      </c>
      <c r="BL28" s="274">
        <v>2257562.699</v>
      </c>
      <c r="BM28" s="274">
        <v>2275663.216</v>
      </c>
      <c r="BN28" s="274">
        <v>2294243.5950000002</v>
      </c>
      <c r="BO28" s="274">
        <v>2313381.3470000001</v>
      </c>
      <c r="BP28" s="274">
        <v>2332932.0639999998</v>
      </c>
      <c r="BQ28" s="274">
        <v>2352544.2250000001</v>
      </c>
      <c r="BR28" s="274">
        <v>2371731.9640000002</v>
      </c>
      <c r="BS28" s="274">
        <v>2390124.7059999998</v>
      </c>
    </row>
    <row r="29" spans="1:71" x14ac:dyDescent="0.4">
      <c r="A29" s="270">
        <v>10</v>
      </c>
      <c r="B29" s="271" t="s">
        <v>890</v>
      </c>
      <c r="C29" s="276" t="s">
        <v>905</v>
      </c>
      <c r="D29" s="273" t="s">
        <v>902</v>
      </c>
      <c r="E29" s="273">
        <v>1501</v>
      </c>
      <c r="F29" s="274">
        <v>768893.01</v>
      </c>
      <c r="G29" s="274">
        <v>782434.37</v>
      </c>
      <c r="H29" s="274">
        <v>796905.97699999996</v>
      </c>
      <c r="I29" s="274">
        <v>812254.17799999996</v>
      </c>
      <c r="J29" s="274">
        <v>828435.94499999995</v>
      </c>
      <c r="K29" s="274">
        <v>845418.88699999999</v>
      </c>
      <c r="L29" s="274">
        <v>863181.76</v>
      </c>
      <c r="M29" s="274">
        <v>881713.93500000006</v>
      </c>
      <c r="N29" s="274">
        <v>901013.88</v>
      </c>
      <c r="O29" s="274">
        <v>921086.56200000003</v>
      </c>
      <c r="P29" s="274">
        <v>941935.76199999999</v>
      </c>
      <c r="Q29" s="274">
        <v>963555.79</v>
      </c>
      <c r="R29" s="274">
        <v>985924.31900000002</v>
      </c>
      <c r="S29" s="274">
        <v>1008999.301</v>
      </c>
      <c r="T29" s="274">
        <v>1032727.684</v>
      </c>
      <c r="U29" s="274">
        <v>1057071.165</v>
      </c>
      <c r="V29" s="274">
        <v>1082024.67</v>
      </c>
      <c r="W29" s="274">
        <v>1107598.3570000001</v>
      </c>
      <c r="X29" s="274">
        <v>1133790.8500000001</v>
      </c>
      <c r="Y29" s="274">
        <v>1160605.496</v>
      </c>
      <c r="Z29" s="274">
        <v>1188054.0859999999</v>
      </c>
      <c r="AA29" s="274">
        <v>1216132.4509999999</v>
      </c>
      <c r="AB29" s="274">
        <v>1244866.0190000001</v>
      </c>
      <c r="AC29" s="274">
        <v>1274334.0900000001</v>
      </c>
      <c r="AD29" s="274">
        <v>1304639.98</v>
      </c>
      <c r="AE29" s="274">
        <v>1335861.46</v>
      </c>
      <c r="AF29" s="274">
        <v>1368000.5830000001</v>
      </c>
      <c r="AG29" s="274">
        <v>1401044.122</v>
      </c>
      <c r="AH29" s="274">
        <v>1435030.257</v>
      </c>
      <c r="AI29" s="274">
        <v>1470000.047</v>
      </c>
      <c r="AJ29" s="274">
        <v>1505963.3910000001</v>
      </c>
      <c r="AK29" s="274">
        <v>1542917.1470000001</v>
      </c>
      <c r="AL29" s="274">
        <v>1580793.3370000001</v>
      </c>
      <c r="AM29" s="274">
        <v>1619450.504</v>
      </c>
      <c r="AN29" s="274">
        <v>1658702.5560000001</v>
      </c>
      <c r="AO29" s="274">
        <v>1698392.4739999999</v>
      </c>
      <c r="AP29" s="274">
        <v>1738452.62</v>
      </c>
      <c r="AQ29" s="274">
        <v>1778840.179</v>
      </c>
      <c r="AR29" s="274">
        <v>1819452.7180000001</v>
      </c>
      <c r="AS29" s="274">
        <v>1860183.622</v>
      </c>
      <c r="AT29" s="274">
        <v>1900946.281</v>
      </c>
      <c r="AU29" s="274">
        <v>1941679.048</v>
      </c>
      <c r="AV29" s="274">
        <v>1982350.49</v>
      </c>
      <c r="AW29" s="274">
        <v>2022947.0989999999</v>
      </c>
      <c r="AX29" s="274">
        <v>2063473.8230000001</v>
      </c>
      <c r="AY29" s="274">
        <v>2103934.4389999998</v>
      </c>
      <c r="AZ29" s="274">
        <v>2144317.0099999998</v>
      </c>
      <c r="BA29" s="274">
        <v>2184608.423</v>
      </c>
      <c r="BB29" s="274">
        <v>2224815.1740000001</v>
      </c>
      <c r="BC29" s="274">
        <v>2264950.5299999998</v>
      </c>
      <c r="BD29" s="274">
        <v>2305030.8470000001</v>
      </c>
      <c r="BE29" s="274">
        <v>2345058.4249999998</v>
      </c>
      <c r="BF29" s="274">
        <v>2385049.932</v>
      </c>
      <c r="BG29" s="274">
        <v>2425055.2599999998</v>
      </c>
      <c r="BH29" s="274">
        <v>2465138</v>
      </c>
      <c r="BI29" s="274">
        <v>2505347.9279999998</v>
      </c>
      <c r="BJ29" s="274">
        <v>2545710.247</v>
      </c>
      <c r="BK29" s="274">
        <v>2586228.8539999998</v>
      </c>
      <c r="BL29" s="274">
        <v>2626905.6800000002</v>
      </c>
      <c r="BM29" s="274">
        <v>2667733.9010000001</v>
      </c>
      <c r="BN29" s="274">
        <v>2708710.571</v>
      </c>
      <c r="BO29" s="274">
        <v>2749816.2089999998</v>
      </c>
      <c r="BP29" s="274">
        <v>2791058.361</v>
      </c>
      <c r="BQ29" s="274">
        <v>2832488.9840000002</v>
      </c>
      <c r="BR29" s="274">
        <v>2874177.5329999998</v>
      </c>
      <c r="BS29" s="274">
        <v>2916158.26</v>
      </c>
    </row>
    <row r="30" spans="1:71" x14ac:dyDescent="0.4">
      <c r="A30" s="270">
        <v>11</v>
      </c>
      <c r="B30" s="271" t="s">
        <v>890</v>
      </c>
      <c r="C30" s="275" t="s">
        <v>906</v>
      </c>
      <c r="D30" s="273" t="s">
        <v>902</v>
      </c>
      <c r="E30" s="273">
        <v>1500</v>
      </c>
      <c r="F30" s="274">
        <v>130103.43799999999</v>
      </c>
      <c r="G30" s="274">
        <v>132018.21599999999</v>
      </c>
      <c r="H30" s="274">
        <v>134093.42499999999</v>
      </c>
      <c r="I30" s="274">
        <v>136352.78599999999</v>
      </c>
      <c r="J30" s="274">
        <v>138809.73199999999</v>
      </c>
      <c r="K30" s="274">
        <v>141467.429</v>
      </c>
      <c r="L30" s="274">
        <v>144318.12299999999</v>
      </c>
      <c r="M30" s="274">
        <v>147343.77600000001</v>
      </c>
      <c r="N30" s="274">
        <v>150517.94399999999</v>
      </c>
      <c r="O30" s="274">
        <v>153808.78599999999</v>
      </c>
      <c r="P30" s="274">
        <v>157188.43299999999</v>
      </c>
      <c r="Q30" s="274">
        <v>160642.77799999999</v>
      </c>
      <c r="R30" s="274">
        <v>164180.179</v>
      </c>
      <c r="S30" s="274">
        <v>167835.12400000001</v>
      </c>
      <c r="T30" s="274">
        <v>171657.78</v>
      </c>
      <c r="U30" s="274">
        <v>175683.05600000001</v>
      </c>
      <c r="V30" s="274">
        <v>179916.91800000001</v>
      </c>
      <c r="W30" s="274">
        <v>184342.94500000001</v>
      </c>
      <c r="X30" s="274">
        <v>188945.73699999999</v>
      </c>
      <c r="Y30" s="274">
        <v>193701.378</v>
      </c>
      <c r="Z30" s="274">
        <v>198588.59</v>
      </c>
      <c r="AA30" s="274">
        <v>203612.75</v>
      </c>
      <c r="AB30" s="274">
        <v>208769.614</v>
      </c>
      <c r="AC30" s="274">
        <v>214017.092</v>
      </c>
      <c r="AD30" s="274">
        <v>219301.269</v>
      </c>
      <c r="AE30" s="274">
        <v>224587.75</v>
      </c>
      <c r="AF30" s="274">
        <v>229867.68100000001</v>
      </c>
      <c r="AG30" s="274">
        <v>235165.09299999999</v>
      </c>
      <c r="AH30" s="274">
        <v>240521.361</v>
      </c>
      <c r="AI30" s="274">
        <v>245995.52100000001</v>
      </c>
      <c r="AJ30" s="274">
        <v>251638.36300000001</v>
      </c>
      <c r="AK30" s="274">
        <v>257466.55900000001</v>
      </c>
      <c r="AL30" s="274">
        <v>263493.71999999997</v>
      </c>
      <c r="AM30" s="274">
        <v>269764.91700000002</v>
      </c>
      <c r="AN30" s="274">
        <v>276331.66499999998</v>
      </c>
      <c r="AO30" s="274">
        <v>283234.65500000003</v>
      </c>
      <c r="AP30" s="274">
        <v>290486.40299999999</v>
      </c>
      <c r="AQ30" s="274">
        <v>298092.14500000002</v>
      </c>
      <c r="AR30" s="274">
        <v>306072.92499999999</v>
      </c>
      <c r="AS30" s="274">
        <v>314448.81599999999</v>
      </c>
      <c r="AT30" s="274">
        <v>323227.228</v>
      </c>
      <c r="AU30" s="274">
        <v>332433.71500000003</v>
      </c>
      <c r="AV30" s="274">
        <v>342050.44699999999</v>
      </c>
      <c r="AW30" s="274">
        <v>351987.72499999998</v>
      </c>
      <c r="AX30" s="274">
        <v>362123.03499999997</v>
      </c>
      <c r="AY30" s="274">
        <v>372371.97700000001</v>
      </c>
      <c r="AZ30" s="274">
        <v>382697.53700000001</v>
      </c>
      <c r="BA30" s="274">
        <v>393134.571</v>
      </c>
      <c r="BB30" s="274">
        <v>403759.21799999999</v>
      </c>
      <c r="BC30" s="274">
        <v>414684.35</v>
      </c>
      <c r="BD30" s="274">
        <v>425992.69900000002</v>
      </c>
      <c r="BE30" s="274">
        <v>437714.05499999999</v>
      </c>
      <c r="BF30" s="274">
        <v>449827.12400000001</v>
      </c>
      <c r="BG30" s="274">
        <v>462302.98</v>
      </c>
      <c r="BH30" s="274">
        <v>475092.68099999998</v>
      </c>
      <c r="BI30" s="274">
        <v>488164.37</v>
      </c>
      <c r="BJ30" s="274">
        <v>501506.19900000002</v>
      </c>
      <c r="BK30" s="274">
        <v>515142.538</v>
      </c>
      <c r="BL30" s="274">
        <v>529119.91500000004</v>
      </c>
      <c r="BM30" s="274">
        <v>543502.41599999997</v>
      </c>
      <c r="BN30" s="274">
        <v>558333.17799999996</v>
      </c>
      <c r="BO30" s="274">
        <v>573629.14599999995</v>
      </c>
      <c r="BP30" s="274">
        <v>589368.16200000001</v>
      </c>
      <c r="BQ30" s="274">
        <v>605505.799</v>
      </c>
      <c r="BR30" s="274">
        <v>621977.59400000004</v>
      </c>
      <c r="BS30" s="274">
        <v>638734.91399999999</v>
      </c>
    </row>
    <row r="31" spans="1:71" x14ac:dyDescent="0.4">
      <c r="A31" s="270">
        <v>12</v>
      </c>
      <c r="B31" s="271" t="s">
        <v>890</v>
      </c>
      <c r="C31" s="272" t="s">
        <v>907</v>
      </c>
      <c r="D31" s="273" t="s">
        <v>908</v>
      </c>
      <c r="E31" s="273">
        <v>947</v>
      </c>
      <c r="F31" s="274">
        <v>179679.84700000001</v>
      </c>
      <c r="G31" s="274">
        <v>183054.65100000001</v>
      </c>
      <c r="H31" s="274">
        <v>186597.92600000001</v>
      </c>
      <c r="I31" s="274">
        <v>190308.462</v>
      </c>
      <c r="J31" s="274">
        <v>194186.60399999999</v>
      </c>
      <c r="K31" s="274">
        <v>198234.31299999999</v>
      </c>
      <c r="L31" s="274">
        <v>202455.15400000001</v>
      </c>
      <c r="M31" s="274">
        <v>206854.28400000001</v>
      </c>
      <c r="N31" s="274">
        <v>211438.217</v>
      </c>
      <c r="O31" s="274">
        <v>216214.421</v>
      </c>
      <c r="P31" s="274">
        <v>221190.27499999999</v>
      </c>
      <c r="Q31" s="274">
        <v>226371.84400000001</v>
      </c>
      <c r="R31" s="274">
        <v>231762.878</v>
      </c>
      <c r="S31" s="274">
        <v>237364.351</v>
      </c>
      <c r="T31" s="274">
        <v>243175.72399999999</v>
      </c>
      <c r="U31" s="274">
        <v>249198.614</v>
      </c>
      <c r="V31" s="274">
        <v>255438.71100000001</v>
      </c>
      <c r="W31" s="274">
        <v>261904.50700000001</v>
      </c>
      <c r="X31" s="274">
        <v>268604.21500000003</v>
      </c>
      <c r="Y31" s="274">
        <v>275547.24699999997</v>
      </c>
      <c r="Z31" s="274">
        <v>282743.38</v>
      </c>
      <c r="AA31" s="274">
        <v>290196.56599999999</v>
      </c>
      <c r="AB31" s="274">
        <v>297915.45500000002</v>
      </c>
      <c r="AC31" s="274">
        <v>305920.10100000002</v>
      </c>
      <c r="AD31" s="274">
        <v>314234.71600000001</v>
      </c>
      <c r="AE31" s="274">
        <v>322877.27799999999</v>
      </c>
      <c r="AF31" s="274">
        <v>331859.71399999998</v>
      </c>
      <c r="AG31" s="274">
        <v>341181.44500000001</v>
      </c>
      <c r="AH31" s="274">
        <v>350832.234</v>
      </c>
      <c r="AI31" s="274">
        <v>360794.78</v>
      </c>
      <c r="AJ31" s="274">
        <v>371057.54399999999</v>
      </c>
      <c r="AK31" s="274">
        <v>381615.04</v>
      </c>
      <c r="AL31" s="274">
        <v>392474.79499999998</v>
      </c>
      <c r="AM31" s="274">
        <v>403653.24699999997</v>
      </c>
      <c r="AN31" s="274">
        <v>415173.24800000002</v>
      </c>
      <c r="AO31" s="274">
        <v>427049.32699999999</v>
      </c>
      <c r="AP31" s="274">
        <v>439289.52500000002</v>
      </c>
      <c r="AQ31" s="274">
        <v>451883.61800000002</v>
      </c>
      <c r="AR31" s="274">
        <v>464805.56199999998</v>
      </c>
      <c r="AS31" s="274">
        <v>478018.91399999999</v>
      </c>
      <c r="AT31" s="274">
        <v>491497.69099999999</v>
      </c>
      <c r="AU31" s="274">
        <v>505243.67300000001</v>
      </c>
      <c r="AV31" s="274">
        <v>519267.71100000001</v>
      </c>
      <c r="AW31" s="274">
        <v>533565.64</v>
      </c>
      <c r="AX31" s="274">
        <v>548134.18500000006</v>
      </c>
      <c r="AY31" s="274">
        <v>562978.22400000005</v>
      </c>
      <c r="AZ31" s="274">
        <v>578105.12399999995</v>
      </c>
      <c r="BA31" s="274">
        <v>593539.04700000002</v>
      </c>
      <c r="BB31" s="274">
        <v>609324.74399999995</v>
      </c>
      <c r="BC31" s="274">
        <v>625519.15899999999</v>
      </c>
      <c r="BD31" s="274">
        <v>642172.29799999995</v>
      </c>
      <c r="BE31" s="274">
        <v>659302.005</v>
      </c>
      <c r="BF31" s="274">
        <v>676927.64899999998</v>
      </c>
      <c r="BG31" s="274">
        <v>695101.929</v>
      </c>
      <c r="BH31" s="274">
        <v>713885.20600000001</v>
      </c>
      <c r="BI31" s="274">
        <v>733321.65899999999</v>
      </c>
      <c r="BJ31" s="274">
        <v>753431.48600000003</v>
      </c>
      <c r="BK31" s="274">
        <v>774210.91599999997</v>
      </c>
      <c r="BL31" s="274">
        <v>795647.304</v>
      </c>
      <c r="BM31" s="274">
        <v>817715.16599999997</v>
      </c>
      <c r="BN31" s="274">
        <v>840390.12899999996</v>
      </c>
      <c r="BO31" s="274">
        <v>863672.59</v>
      </c>
      <c r="BP31" s="274">
        <v>887553.76</v>
      </c>
      <c r="BQ31" s="274">
        <v>911987.06499999994</v>
      </c>
      <c r="BR31" s="274">
        <v>936913.098</v>
      </c>
      <c r="BS31" s="274">
        <v>962286.75399999996</v>
      </c>
    </row>
    <row r="32" spans="1:71" x14ac:dyDescent="0.4">
      <c r="A32" s="270">
        <v>13</v>
      </c>
      <c r="B32" s="271" t="s">
        <v>890</v>
      </c>
      <c r="C32" s="272" t="s">
        <v>909</v>
      </c>
      <c r="D32" s="273"/>
      <c r="E32" s="273">
        <v>903</v>
      </c>
      <c r="F32" s="274">
        <v>228901.723</v>
      </c>
      <c r="G32" s="274">
        <v>233449.41500000001</v>
      </c>
      <c r="H32" s="274">
        <v>238230.63500000001</v>
      </c>
      <c r="I32" s="274">
        <v>243243.666</v>
      </c>
      <c r="J32" s="274">
        <v>248487.75599999999</v>
      </c>
      <c r="K32" s="274">
        <v>253963.19899999999</v>
      </c>
      <c r="L32" s="274">
        <v>259671.27100000001</v>
      </c>
      <c r="M32" s="274">
        <v>265614.26199999999</v>
      </c>
      <c r="N32" s="274">
        <v>271795.34600000002</v>
      </c>
      <c r="O32" s="274">
        <v>278218.33199999999</v>
      </c>
      <c r="P32" s="274">
        <v>284887.14799999999</v>
      </c>
      <c r="Q32" s="274">
        <v>291805.14600000001</v>
      </c>
      <c r="R32" s="274">
        <v>298974.59000000003</v>
      </c>
      <c r="S32" s="274">
        <v>306396.37599999999</v>
      </c>
      <c r="T32" s="274">
        <v>314070.74900000001</v>
      </c>
      <c r="U32" s="274">
        <v>321999.24200000003</v>
      </c>
      <c r="V32" s="274">
        <v>330192.05800000002</v>
      </c>
      <c r="W32" s="274">
        <v>338656.136</v>
      </c>
      <c r="X32" s="274">
        <v>347386.94199999998</v>
      </c>
      <c r="Y32" s="274">
        <v>356376.75</v>
      </c>
      <c r="Z32" s="274">
        <v>365625.902</v>
      </c>
      <c r="AA32" s="274">
        <v>375133.69099999999</v>
      </c>
      <c r="AB32" s="274">
        <v>384921.06300000002</v>
      </c>
      <c r="AC32" s="274">
        <v>395036.77500000002</v>
      </c>
      <c r="AD32" s="274">
        <v>405544.038</v>
      </c>
      <c r="AE32" s="274">
        <v>416490.40500000003</v>
      </c>
      <c r="AF32" s="274">
        <v>427894.71600000001</v>
      </c>
      <c r="AG32" s="274">
        <v>439752.75099999999</v>
      </c>
      <c r="AH32" s="274">
        <v>452059.63799999998</v>
      </c>
      <c r="AI32" s="274">
        <v>464801.08600000001</v>
      </c>
      <c r="AJ32" s="274">
        <v>477965.12900000002</v>
      </c>
      <c r="AK32" s="274">
        <v>491549.11300000001</v>
      </c>
      <c r="AL32" s="274">
        <v>505554.09899999999</v>
      </c>
      <c r="AM32" s="274">
        <v>519974.114</v>
      </c>
      <c r="AN32" s="274">
        <v>534801.86800000002</v>
      </c>
      <c r="AO32" s="274">
        <v>550027.72600000002</v>
      </c>
      <c r="AP32" s="274">
        <v>565642.26100000006</v>
      </c>
      <c r="AQ32" s="274">
        <v>581631.16099999996</v>
      </c>
      <c r="AR32" s="274">
        <v>597972.85499999998</v>
      </c>
      <c r="AS32" s="274">
        <v>614641.78899999999</v>
      </c>
      <c r="AT32" s="274">
        <v>631614.304</v>
      </c>
      <c r="AU32" s="274">
        <v>648899.76699999999</v>
      </c>
      <c r="AV32" s="274">
        <v>666488.66799999995</v>
      </c>
      <c r="AW32" s="274">
        <v>684318.63899999997</v>
      </c>
      <c r="AX32" s="274">
        <v>702310.01199999999</v>
      </c>
      <c r="AY32" s="274">
        <v>720416.38600000006</v>
      </c>
      <c r="AZ32" s="274">
        <v>738623.10100000002</v>
      </c>
      <c r="BA32" s="274">
        <v>756979.22400000005</v>
      </c>
      <c r="BB32" s="274">
        <v>775584.22499999998</v>
      </c>
      <c r="BC32" s="274">
        <v>794575.02399999998</v>
      </c>
      <c r="BD32" s="274">
        <v>814063.14899999998</v>
      </c>
      <c r="BE32" s="274">
        <v>834088.70700000005</v>
      </c>
      <c r="BF32" s="274">
        <v>854665.83900000004</v>
      </c>
      <c r="BG32" s="274">
        <v>875849.04599999997</v>
      </c>
      <c r="BH32" s="274">
        <v>897692.4</v>
      </c>
      <c r="BI32" s="274">
        <v>920238.94499999995</v>
      </c>
      <c r="BJ32" s="274">
        <v>943507.84499999997</v>
      </c>
      <c r="BK32" s="274">
        <v>967510.99800000002</v>
      </c>
      <c r="BL32" s="274">
        <v>992269.44700000004</v>
      </c>
      <c r="BM32" s="274">
        <v>1017800.535</v>
      </c>
      <c r="BN32" s="274">
        <v>1044106.862</v>
      </c>
      <c r="BO32" s="274">
        <v>1071200.423</v>
      </c>
      <c r="BP32" s="274">
        <v>1099053.331</v>
      </c>
      <c r="BQ32" s="274">
        <v>1127576.121</v>
      </c>
      <c r="BR32" s="274">
        <v>1156648.7509999999</v>
      </c>
      <c r="BS32" s="274">
        <v>1186178.2819999999</v>
      </c>
    </row>
    <row r="33" spans="1:71" x14ac:dyDescent="0.4">
      <c r="A33" s="270">
        <v>14</v>
      </c>
      <c r="B33" s="271" t="s">
        <v>890</v>
      </c>
      <c r="C33" s="277" t="s">
        <v>910</v>
      </c>
      <c r="D33" s="273"/>
      <c r="E33" s="273">
        <v>910</v>
      </c>
      <c r="F33" s="274">
        <v>66922.702000000005</v>
      </c>
      <c r="G33" s="274">
        <v>68373.747000000003</v>
      </c>
      <c r="H33" s="274">
        <v>69874.732999999993</v>
      </c>
      <c r="I33" s="274">
        <v>71431.547999999995</v>
      </c>
      <c r="J33" s="274">
        <v>73049.672999999995</v>
      </c>
      <c r="K33" s="274">
        <v>74734.226999999999</v>
      </c>
      <c r="L33" s="274">
        <v>76489.922999999995</v>
      </c>
      <c r="M33" s="274">
        <v>78321.100000000006</v>
      </c>
      <c r="N33" s="274">
        <v>80231.721000000005</v>
      </c>
      <c r="O33" s="274">
        <v>82225.394</v>
      </c>
      <c r="P33" s="274">
        <v>84305.445999999996</v>
      </c>
      <c r="Q33" s="274">
        <v>86474.99</v>
      </c>
      <c r="R33" s="274">
        <v>88736.99</v>
      </c>
      <c r="S33" s="274">
        <v>91094.271999999997</v>
      </c>
      <c r="T33" s="274">
        <v>93549.475000000006</v>
      </c>
      <c r="U33" s="274">
        <v>96104.801999999996</v>
      </c>
      <c r="V33" s="274">
        <v>98763.96</v>
      </c>
      <c r="W33" s="274">
        <v>101528.61500000001</v>
      </c>
      <c r="X33" s="274">
        <v>104396.485</v>
      </c>
      <c r="Y33" s="274">
        <v>107363.656</v>
      </c>
      <c r="Z33" s="274">
        <v>110428.367</v>
      </c>
      <c r="AA33" s="274">
        <v>113589.88099999999</v>
      </c>
      <c r="AB33" s="274">
        <v>116852.696</v>
      </c>
      <c r="AC33" s="274">
        <v>120226.63499999999</v>
      </c>
      <c r="AD33" s="274">
        <v>123724.622</v>
      </c>
      <c r="AE33" s="274">
        <v>127356.094</v>
      </c>
      <c r="AF33" s="274">
        <v>131128.495</v>
      </c>
      <c r="AG33" s="274">
        <v>135040.77299999999</v>
      </c>
      <c r="AH33" s="274">
        <v>139083.78700000001</v>
      </c>
      <c r="AI33" s="274">
        <v>143243.503</v>
      </c>
      <c r="AJ33" s="274">
        <v>147511.68299999999</v>
      </c>
      <c r="AK33" s="274">
        <v>151873.174</v>
      </c>
      <c r="AL33" s="274">
        <v>156334.617</v>
      </c>
      <c r="AM33" s="274">
        <v>160934.46299999999</v>
      </c>
      <c r="AN33" s="274">
        <v>165725.576</v>
      </c>
      <c r="AO33" s="274">
        <v>170739.16500000001</v>
      </c>
      <c r="AP33" s="274">
        <v>176010.12</v>
      </c>
      <c r="AQ33" s="274">
        <v>181511.06899999999</v>
      </c>
      <c r="AR33" s="274">
        <v>187136.774</v>
      </c>
      <c r="AS33" s="274">
        <v>192742.084</v>
      </c>
      <c r="AT33" s="274">
        <v>198231.68700000001</v>
      </c>
      <c r="AU33" s="274">
        <v>203557.462</v>
      </c>
      <c r="AV33" s="274">
        <v>208775.07</v>
      </c>
      <c r="AW33" s="274">
        <v>214020.11499999999</v>
      </c>
      <c r="AX33" s="274">
        <v>219485.38099999999</v>
      </c>
      <c r="AY33" s="274">
        <v>225309.503</v>
      </c>
      <c r="AZ33" s="274">
        <v>231547.883</v>
      </c>
      <c r="BA33" s="274">
        <v>238160.09099999999</v>
      </c>
      <c r="BB33" s="274">
        <v>245073.02900000001</v>
      </c>
      <c r="BC33" s="274">
        <v>252170.747</v>
      </c>
      <c r="BD33" s="274">
        <v>259372.541</v>
      </c>
      <c r="BE33" s="274">
        <v>266660.50699999998</v>
      </c>
      <c r="BF33" s="274">
        <v>274075.58299999998</v>
      </c>
      <c r="BG33" s="274">
        <v>281665.83500000002</v>
      </c>
      <c r="BH33" s="274">
        <v>289502.06900000002</v>
      </c>
      <c r="BI33" s="274">
        <v>297636.467</v>
      </c>
      <c r="BJ33" s="274">
        <v>306080.42300000001</v>
      </c>
      <c r="BK33" s="274">
        <v>314819.98</v>
      </c>
      <c r="BL33" s="274">
        <v>323851.02899999998</v>
      </c>
      <c r="BM33" s="274">
        <v>333162.13</v>
      </c>
      <c r="BN33" s="274">
        <v>342742.625</v>
      </c>
      <c r="BO33" s="274">
        <v>352593.266</v>
      </c>
      <c r="BP33" s="274">
        <v>362712.00699999998</v>
      </c>
      <c r="BQ33" s="274">
        <v>373080.59</v>
      </c>
      <c r="BR33" s="274">
        <v>383675.36</v>
      </c>
      <c r="BS33" s="274">
        <v>394477.33899999998</v>
      </c>
    </row>
    <row r="34" spans="1:71" x14ac:dyDescent="0.4">
      <c r="A34" s="270">
        <v>15</v>
      </c>
      <c r="B34" s="271" t="s">
        <v>890</v>
      </c>
      <c r="C34" s="276" t="s">
        <v>284</v>
      </c>
      <c r="D34" s="273"/>
      <c r="E34" s="273">
        <v>108</v>
      </c>
      <c r="F34" s="274">
        <v>2308.9229999999998</v>
      </c>
      <c r="G34" s="274">
        <v>2359.2339999999999</v>
      </c>
      <c r="H34" s="274">
        <v>2403.777</v>
      </c>
      <c r="I34" s="274">
        <v>2445.8359999999998</v>
      </c>
      <c r="J34" s="274">
        <v>2487.9290000000001</v>
      </c>
      <c r="K34" s="274">
        <v>2531.8000000000002</v>
      </c>
      <c r="L34" s="274">
        <v>2578.393</v>
      </c>
      <c r="M34" s="274">
        <v>2627.88</v>
      </c>
      <c r="N34" s="274">
        <v>2679.7649999999999</v>
      </c>
      <c r="O34" s="274">
        <v>2733.05</v>
      </c>
      <c r="P34" s="274">
        <v>2786.74</v>
      </c>
      <c r="Q34" s="274">
        <v>2840.375</v>
      </c>
      <c r="R34" s="274">
        <v>2894.51</v>
      </c>
      <c r="S34" s="274">
        <v>2950.9029999999998</v>
      </c>
      <c r="T34" s="274">
        <v>3011.9569999999999</v>
      </c>
      <c r="U34" s="274">
        <v>3079.0340000000001</v>
      </c>
      <c r="V34" s="274">
        <v>3153.8789999999999</v>
      </c>
      <c r="W34" s="274">
        <v>3235.125</v>
      </c>
      <c r="X34" s="274">
        <v>3317.3150000000001</v>
      </c>
      <c r="Y34" s="274">
        <v>3392.9490000000001</v>
      </c>
      <c r="Z34" s="274">
        <v>3457.1129999999998</v>
      </c>
      <c r="AA34" s="274">
        <v>3507.5929999999998</v>
      </c>
      <c r="AB34" s="274">
        <v>3547.335</v>
      </c>
      <c r="AC34" s="274">
        <v>3582.9520000000002</v>
      </c>
      <c r="AD34" s="274">
        <v>3623.8530000000001</v>
      </c>
      <c r="AE34" s="274">
        <v>3676.991</v>
      </c>
      <c r="AF34" s="274">
        <v>3744.6959999999999</v>
      </c>
      <c r="AG34" s="274">
        <v>3825.4839999999999</v>
      </c>
      <c r="AH34" s="274">
        <v>3917.866</v>
      </c>
      <c r="AI34" s="274">
        <v>4018.9270000000001</v>
      </c>
      <c r="AJ34" s="274">
        <v>4126.5439999999999</v>
      </c>
      <c r="AK34" s="274">
        <v>4239.6729999999998</v>
      </c>
      <c r="AL34" s="274">
        <v>4359.1220000000003</v>
      </c>
      <c r="AM34" s="274">
        <v>4486.6130000000003</v>
      </c>
      <c r="AN34" s="274">
        <v>4624.6170000000002</v>
      </c>
      <c r="AO34" s="274">
        <v>4774.2579999999998</v>
      </c>
      <c r="AP34" s="274">
        <v>4936.4290000000001</v>
      </c>
      <c r="AQ34" s="274">
        <v>5108.5810000000001</v>
      </c>
      <c r="AR34" s="274">
        <v>5284.1729999999998</v>
      </c>
      <c r="AS34" s="274">
        <v>5454.4750000000004</v>
      </c>
      <c r="AT34" s="274">
        <v>5613.1409999999996</v>
      </c>
      <c r="AU34" s="274">
        <v>5759.4290000000001</v>
      </c>
      <c r="AV34" s="274">
        <v>5895.1310000000003</v>
      </c>
      <c r="AW34" s="274">
        <v>6019.9009999999998</v>
      </c>
      <c r="AX34" s="274">
        <v>6134.0410000000002</v>
      </c>
      <c r="AY34" s="274">
        <v>6239.03</v>
      </c>
      <c r="AZ34" s="274">
        <v>6333.415</v>
      </c>
      <c r="BA34" s="274">
        <v>6420.3969999999999</v>
      </c>
      <c r="BB34" s="274">
        <v>6511.92</v>
      </c>
      <c r="BC34" s="274">
        <v>6623.7070000000003</v>
      </c>
      <c r="BD34" s="274">
        <v>6767.0730000000003</v>
      </c>
      <c r="BE34" s="274">
        <v>6946.72</v>
      </c>
      <c r="BF34" s="274">
        <v>7159.9179999999997</v>
      </c>
      <c r="BG34" s="274">
        <v>7401.2150000000001</v>
      </c>
      <c r="BH34" s="274">
        <v>7661.6130000000003</v>
      </c>
      <c r="BI34" s="274">
        <v>7934.2129999999997</v>
      </c>
      <c r="BJ34" s="274">
        <v>8218.07</v>
      </c>
      <c r="BK34" s="274">
        <v>8514.5779999999995</v>
      </c>
      <c r="BL34" s="274">
        <v>8821.7950000000001</v>
      </c>
      <c r="BM34" s="274">
        <v>9137.7860000000001</v>
      </c>
      <c r="BN34" s="274">
        <v>9461.1170000000002</v>
      </c>
      <c r="BO34" s="274">
        <v>9790.1509999999998</v>
      </c>
      <c r="BP34" s="274">
        <v>10124.572</v>
      </c>
      <c r="BQ34" s="274">
        <v>10465.959000000001</v>
      </c>
      <c r="BR34" s="274">
        <v>10816.86</v>
      </c>
      <c r="BS34" s="274">
        <v>11178.921</v>
      </c>
    </row>
    <row r="35" spans="1:71" x14ac:dyDescent="0.4">
      <c r="A35" s="270">
        <v>16</v>
      </c>
      <c r="B35" s="271" t="s">
        <v>890</v>
      </c>
      <c r="C35" s="276" t="s">
        <v>320</v>
      </c>
      <c r="D35" s="273"/>
      <c r="E35" s="273">
        <v>174</v>
      </c>
      <c r="F35" s="274">
        <v>156.334</v>
      </c>
      <c r="G35" s="274">
        <v>160.083</v>
      </c>
      <c r="H35" s="274">
        <v>163.553</v>
      </c>
      <c r="I35" s="274">
        <v>166.839</v>
      </c>
      <c r="J35" s="274">
        <v>170.01900000000001</v>
      </c>
      <c r="K35" s="274">
        <v>173.149</v>
      </c>
      <c r="L35" s="274">
        <v>176.26499999999999</v>
      </c>
      <c r="M35" s="274">
        <v>179.386</v>
      </c>
      <c r="N35" s="274">
        <v>182.512</v>
      </c>
      <c r="O35" s="274">
        <v>185.62899999999999</v>
      </c>
      <c r="P35" s="274">
        <v>188.732</v>
      </c>
      <c r="Q35" s="274">
        <v>191.828</v>
      </c>
      <c r="R35" s="274">
        <v>194.96</v>
      </c>
      <c r="S35" s="274">
        <v>198.20500000000001</v>
      </c>
      <c r="T35" s="274">
        <v>201.66499999999999</v>
      </c>
      <c r="U35" s="274">
        <v>205.41200000000001</v>
      </c>
      <c r="V35" s="274">
        <v>209.536</v>
      </c>
      <c r="W35" s="274">
        <v>214.03800000000001</v>
      </c>
      <c r="X35" s="274">
        <v>218.79400000000001</v>
      </c>
      <c r="Y35" s="274">
        <v>223.62899999999999</v>
      </c>
      <c r="Z35" s="274">
        <v>228.44300000000001</v>
      </c>
      <c r="AA35" s="274">
        <v>233.125</v>
      </c>
      <c r="AB35" s="274">
        <v>237.797</v>
      </c>
      <c r="AC35" s="274">
        <v>242.875</v>
      </c>
      <c r="AD35" s="274">
        <v>248.92099999999999</v>
      </c>
      <c r="AE35" s="274">
        <v>256.30900000000003</v>
      </c>
      <c r="AF35" s="274">
        <v>265.23399999999998</v>
      </c>
      <c r="AG35" s="274">
        <v>275.49599999999998</v>
      </c>
      <c r="AH35" s="274">
        <v>286.58300000000003</v>
      </c>
      <c r="AI35" s="274">
        <v>297.76499999999999</v>
      </c>
      <c r="AJ35" s="274">
        <v>308.51799999999997</v>
      </c>
      <c r="AK35" s="274">
        <v>318.65899999999999</v>
      </c>
      <c r="AL35" s="274">
        <v>328.35500000000002</v>
      </c>
      <c r="AM35" s="274">
        <v>337.85300000000001</v>
      </c>
      <c r="AN35" s="274">
        <v>347.548</v>
      </c>
      <c r="AO35" s="274">
        <v>357.72899999999998</v>
      </c>
      <c r="AP35" s="274">
        <v>368.44299999999998</v>
      </c>
      <c r="AQ35" s="274">
        <v>379.589</v>
      </c>
      <c r="AR35" s="274">
        <v>391.13299999999998</v>
      </c>
      <c r="AS35" s="274">
        <v>403.00299999999999</v>
      </c>
      <c r="AT35" s="274">
        <v>415.14400000000001</v>
      </c>
      <c r="AU35" s="274">
        <v>427.55599999999998</v>
      </c>
      <c r="AV35" s="274">
        <v>440.25200000000001</v>
      </c>
      <c r="AW35" s="274">
        <v>453.18799999999999</v>
      </c>
      <c r="AX35" s="274">
        <v>466.30900000000003</v>
      </c>
      <c r="AY35" s="274">
        <v>479.57400000000001</v>
      </c>
      <c r="AZ35" s="274">
        <v>492.97899999999998</v>
      </c>
      <c r="BA35" s="274">
        <v>506.52499999999998</v>
      </c>
      <c r="BB35" s="274">
        <v>520.17999999999995</v>
      </c>
      <c r="BC35" s="274">
        <v>533.90899999999999</v>
      </c>
      <c r="BD35" s="274">
        <v>547.69600000000003</v>
      </c>
      <c r="BE35" s="274">
        <v>561.52499999999998</v>
      </c>
      <c r="BF35" s="274">
        <v>575.428</v>
      </c>
      <c r="BG35" s="274">
        <v>589.5</v>
      </c>
      <c r="BH35" s="274">
        <v>603.86900000000003</v>
      </c>
      <c r="BI35" s="274">
        <v>618.63199999999995</v>
      </c>
      <c r="BJ35" s="274">
        <v>633.81399999999996</v>
      </c>
      <c r="BK35" s="274">
        <v>649.404</v>
      </c>
      <c r="BL35" s="274">
        <v>665.41399999999999</v>
      </c>
      <c r="BM35" s="274">
        <v>681.84500000000003</v>
      </c>
      <c r="BN35" s="274">
        <v>698.69500000000005</v>
      </c>
      <c r="BO35" s="274">
        <v>715.97199999999998</v>
      </c>
      <c r="BP35" s="274">
        <v>733.66099999999994</v>
      </c>
      <c r="BQ35" s="274">
        <v>751.697</v>
      </c>
      <c r="BR35" s="274">
        <v>769.99099999999999</v>
      </c>
      <c r="BS35" s="274">
        <v>788.47400000000005</v>
      </c>
    </row>
    <row r="36" spans="1:71" x14ac:dyDescent="0.4">
      <c r="A36" s="270">
        <v>17</v>
      </c>
      <c r="B36" s="271" t="s">
        <v>890</v>
      </c>
      <c r="C36" s="276" t="s">
        <v>363</v>
      </c>
      <c r="D36" s="273"/>
      <c r="E36" s="273">
        <v>262</v>
      </c>
      <c r="F36" s="274">
        <v>62.000999999999998</v>
      </c>
      <c r="G36" s="274">
        <v>63.308999999999997</v>
      </c>
      <c r="H36" s="274">
        <v>64.748000000000005</v>
      </c>
      <c r="I36" s="274">
        <v>66.272999999999996</v>
      </c>
      <c r="J36" s="274">
        <v>67.876999999999995</v>
      </c>
      <c r="K36" s="274">
        <v>69.593999999999994</v>
      </c>
      <c r="L36" s="274">
        <v>71.498000000000005</v>
      </c>
      <c r="M36" s="274">
        <v>73.703000000000003</v>
      </c>
      <c r="N36" s="274">
        <v>76.353999999999999</v>
      </c>
      <c r="O36" s="274">
        <v>79.617000000000004</v>
      </c>
      <c r="P36" s="274">
        <v>83.635999999999996</v>
      </c>
      <c r="Q36" s="274">
        <v>88.498999999999995</v>
      </c>
      <c r="R36" s="274">
        <v>94.2</v>
      </c>
      <c r="S36" s="274">
        <v>100.622</v>
      </c>
      <c r="T36" s="274">
        <v>107.584</v>
      </c>
      <c r="U36" s="274">
        <v>114.96299999999999</v>
      </c>
      <c r="V36" s="274">
        <v>122.86799999999999</v>
      </c>
      <c r="W36" s="274">
        <v>131.40299999999999</v>
      </c>
      <c r="X36" s="274">
        <v>140.46100000000001</v>
      </c>
      <c r="Y36" s="274">
        <v>149.89099999999999</v>
      </c>
      <c r="Z36" s="274">
        <v>159.667</v>
      </c>
      <c r="AA36" s="274">
        <v>169.37</v>
      </c>
      <c r="AB36" s="274">
        <v>179.21199999999999</v>
      </c>
      <c r="AC36" s="274">
        <v>190.536</v>
      </c>
      <c r="AD36" s="274">
        <v>205.15700000000001</v>
      </c>
      <c r="AE36" s="274">
        <v>224.18199999999999</v>
      </c>
      <c r="AF36" s="274">
        <v>248.619</v>
      </c>
      <c r="AG36" s="274">
        <v>277.62200000000001</v>
      </c>
      <c r="AH36" s="274">
        <v>308.21300000000002</v>
      </c>
      <c r="AI36" s="274">
        <v>336.25400000000002</v>
      </c>
      <c r="AJ36" s="274">
        <v>358.96</v>
      </c>
      <c r="AK36" s="274">
        <v>374.68299999999999</v>
      </c>
      <c r="AL36" s="274">
        <v>384.74299999999999</v>
      </c>
      <c r="AM36" s="274">
        <v>392.90800000000002</v>
      </c>
      <c r="AN36" s="274">
        <v>404.589</v>
      </c>
      <c r="AO36" s="274">
        <v>423.47</v>
      </c>
      <c r="AP36" s="274">
        <v>451.06799999999998</v>
      </c>
      <c r="AQ36" s="274">
        <v>485.565</v>
      </c>
      <c r="AR36" s="274">
        <v>523.26599999999996</v>
      </c>
      <c r="AS36" s="274">
        <v>558.80999999999995</v>
      </c>
      <c r="AT36" s="274">
        <v>588.35599999999999</v>
      </c>
      <c r="AU36" s="274">
        <v>610.67899999999997</v>
      </c>
      <c r="AV36" s="274">
        <v>627.06299999999999</v>
      </c>
      <c r="AW36" s="274">
        <v>639.21500000000003</v>
      </c>
      <c r="AX36" s="274">
        <v>649.87800000000004</v>
      </c>
      <c r="AY36" s="274">
        <v>661.07600000000002</v>
      </c>
      <c r="AZ36" s="274">
        <v>673.202</v>
      </c>
      <c r="BA36" s="274">
        <v>685.64400000000001</v>
      </c>
      <c r="BB36" s="274">
        <v>698.25599999999997</v>
      </c>
      <c r="BC36" s="274">
        <v>710.65200000000004</v>
      </c>
      <c r="BD36" s="274">
        <v>722.56200000000001</v>
      </c>
      <c r="BE36" s="274">
        <v>734.08799999999997</v>
      </c>
      <c r="BF36" s="274">
        <v>745.45899999999995</v>
      </c>
      <c r="BG36" s="274">
        <v>756.65599999999995</v>
      </c>
      <c r="BH36" s="274">
        <v>767.64400000000001</v>
      </c>
      <c r="BI36" s="274">
        <v>778.40599999999995</v>
      </c>
      <c r="BJ36" s="274">
        <v>788.94100000000003</v>
      </c>
      <c r="BK36" s="274">
        <v>799.30899999999997</v>
      </c>
      <c r="BL36" s="274">
        <v>809.63900000000001</v>
      </c>
      <c r="BM36" s="274">
        <v>820.09699999999998</v>
      </c>
      <c r="BN36" s="274">
        <v>830.80200000000002</v>
      </c>
      <c r="BO36" s="274">
        <v>841.80200000000002</v>
      </c>
      <c r="BP36" s="274">
        <v>853.06899999999996</v>
      </c>
      <c r="BQ36" s="274">
        <v>864.55399999999997</v>
      </c>
      <c r="BR36" s="274">
        <v>876.17399999999998</v>
      </c>
      <c r="BS36" s="274">
        <v>887.86099999999999</v>
      </c>
    </row>
    <row r="37" spans="1:71" x14ac:dyDescent="0.4">
      <c r="A37" s="270">
        <v>18</v>
      </c>
      <c r="B37" s="271" t="s">
        <v>890</v>
      </c>
      <c r="C37" s="276" t="s">
        <v>385</v>
      </c>
      <c r="D37" s="273"/>
      <c r="E37" s="273">
        <v>232</v>
      </c>
      <c r="F37" s="274">
        <v>1142.1500000000001</v>
      </c>
      <c r="G37" s="274">
        <v>1162.6579999999999</v>
      </c>
      <c r="H37" s="274">
        <v>1184.694</v>
      </c>
      <c r="I37" s="274">
        <v>1208.1410000000001</v>
      </c>
      <c r="J37" s="274">
        <v>1232.905</v>
      </c>
      <c r="K37" s="274">
        <v>1258.9259999999999</v>
      </c>
      <c r="L37" s="274">
        <v>1286.171</v>
      </c>
      <c r="M37" s="274">
        <v>1314.633</v>
      </c>
      <c r="N37" s="274">
        <v>1344.338</v>
      </c>
      <c r="O37" s="274">
        <v>1375.3209999999999</v>
      </c>
      <c r="P37" s="274">
        <v>1407.6310000000001</v>
      </c>
      <c r="Q37" s="274">
        <v>1441.297</v>
      </c>
      <c r="R37" s="274">
        <v>1476.3209999999999</v>
      </c>
      <c r="S37" s="274">
        <v>1512.671</v>
      </c>
      <c r="T37" s="274">
        <v>1550.297</v>
      </c>
      <c r="U37" s="274">
        <v>1589.1869999999999</v>
      </c>
      <c r="V37" s="274">
        <v>1629.3330000000001</v>
      </c>
      <c r="W37" s="274">
        <v>1670.8209999999999</v>
      </c>
      <c r="X37" s="274">
        <v>1713.846</v>
      </c>
      <c r="Y37" s="274">
        <v>1758.6679999999999</v>
      </c>
      <c r="Z37" s="274">
        <v>1805.48</v>
      </c>
      <c r="AA37" s="274">
        <v>1854.395</v>
      </c>
      <c r="AB37" s="274">
        <v>1905.4059999999999</v>
      </c>
      <c r="AC37" s="274">
        <v>1958.444</v>
      </c>
      <c r="AD37" s="274">
        <v>2013.3820000000001</v>
      </c>
      <c r="AE37" s="274">
        <v>2070.145</v>
      </c>
      <c r="AF37" s="274">
        <v>2128.5970000000002</v>
      </c>
      <c r="AG37" s="274">
        <v>2188.806</v>
      </c>
      <c r="AH37" s="274">
        <v>2251.1289999999999</v>
      </c>
      <c r="AI37" s="274">
        <v>2316.0540000000001</v>
      </c>
      <c r="AJ37" s="274">
        <v>2383.8580000000002</v>
      </c>
      <c r="AK37" s="274">
        <v>2453.6889999999999</v>
      </c>
      <c r="AL37" s="274">
        <v>2525.0050000000001</v>
      </c>
      <c r="AM37" s="274">
        <v>2598.6260000000002</v>
      </c>
      <c r="AN37" s="274">
        <v>2675.7170000000001</v>
      </c>
      <c r="AO37" s="274">
        <v>2756.4929999999999</v>
      </c>
      <c r="AP37" s="274">
        <v>2843.1410000000001</v>
      </c>
      <c r="AQ37" s="274">
        <v>2933.8710000000001</v>
      </c>
      <c r="AR37" s="274">
        <v>3020.2779999999998</v>
      </c>
      <c r="AS37" s="274">
        <v>3091.0830000000001</v>
      </c>
      <c r="AT37" s="274">
        <v>3139.0830000000001</v>
      </c>
      <c r="AU37" s="274">
        <v>3160.6439999999998</v>
      </c>
      <c r="AV37" s="274">
        <v>3160.6170000000002</v>
      </c>
      <c r="AW37" s="274">
        <v>3150.8110000000001</v>
      </c>
      <c r="AX37" s="274">
        <v>3147.8710000000001</v>
      </c>
      <c r="AY37" s="274">
        <v>3164.0949999999998</v>
      </c>
      <c r="AZ37" s="274">
        <v>3202.598</v>
      </c>
      <c r="BA37" s="274">
        <v>3260.6120000000001</v>
      </c>
      <c r="BB37" s="274">
        <v>3337.2269999999999</v>
      </c>
      <c r="BC37" s="274">
        <v>3429.6559999999999</v>
      </c>
      <c r="BD37" s="274">
        <v>3535.1559999999999</v>
      </c>
      <c r="BE37" s="274">
        <v>3655.0059999999999</v>
      </c>
      <c r="BF37" s="274">
        <v>3788.5320000000002</v>
      </c>
      <c r="BG37" s="274">
        <v>3928.4079999999999</v>
      </c>
      <c r="BH37" s="274">
        <v>4064.9580000000001</v>
      </c>
      <c r="BI37" s="274">
        <v>4191.2730000000001</v>
      </c>
      <c r="BJ37" s="274">
        <v>4304.4399999999996</v>
      </c>
      <c r="BK37" s="274">
        <v>4406.299</v>
      </c>
      <c r="BL37" s="274">
        <v>4500.6379999999999</v>
      </c>
      <c r="BM37" s="274">
        <v>4593.549</v>
      </c>
      <c r="BN37" s="274">
        <v>4689.6639999999998</v>
      </c>
      <c r="BO37" s="274">
        <v>4789.5680000000002</v>
      </c>
      <c r="BP37" s="274">
        <v>4892.2330000000002</v>
      </c>
      <c r="BQ37" s="274">
        <v>4998.8239999999996</v>
      </c>
      <c r="BR37" s="274">
        <v>5110.4440000000004</v>
      </c>
      <c r="BS37" s="274">
        <v>5227.7910000000002</v>
      </c>
    </row>
    <row r="38" spans="1:71" x14ac:dyDescent="0.4">
      <c r="A38" s="270">
        <v>19</v>
      </c>
      <c r="B38" s="271" t="s">
        <v>890</v>
      </c>
      <c r="C38" s="276" t="s">
        <v>393</v>
      </c>
      <c r="D38" s="273"/>
      <c r="E38" s="273">
        <v>231</v>
      </c>
      <c r="F38" s="274">
        <v>18128.034</v>
      </c>
      <c r="G38" s="274">
        <v>18466.918000000001</v>
      </c>
      <c r="H38" s="274">
        <v>18819.633999999998</v>
      </c>
      <c r="I38" s="274">
        <v>19184.239000000001</v>
      </c>
      <c r="J38" s="274">
        <v>19559.973999999998</v>
      </c>
      <c r="K38" s="274">
        <v>19947.264999999999</v>
      </c>
      <c r="L38" s="274">
        <v>20347.793000000001</v>
      </c>
      <c r="M38" s="274">
        <v>20764.427</v>
      </c>
      <c r="N38" s="274">
        <v>21200.998</v>
      </c>
      <c r="O38" s="274">
        <v>21661.944</v>
      </c>
      <c r="P38" s="274">
        <v>22151.218000000001</v>
      </c>
      <c r="Q38" s="274">
        <v>22671.131000000001</v>
      </c>
      <c r="R38" s="274">
        <v>23221.330999999998</v>
      </c>
      <c r="S38" s="274">
        <v>23798.378000000001</v>
      </c>
      <c r="T38" s="274">
        <v>24396.965</v>
      </c>
      <c r="U38" s="274">
        <v>25013.550999999999</v>
      </c>
      <c r="V38" s="274">
        <v>25641.175999999999</v>
      </c>
      <c r="W38" s="274">
        <v>26280.771000000001</v>
      </c>
      <c r="X38" s="274">
        <v>26945.458999999999</v>
      </c>
      <c r="Y38" s="274">
        <v>27653.621999999999</v>
      </c>
      <c r="Z38" s="274">
        <v>28414.999</v>
      </c>
      <c r="AA38" s="274">
        <v>29246.17</v>
      </c>
      <c r="AB38" s="274">
        <v>30135.007000000001</v>
      </c>
      <c r="AC38" s="274">
        <v>31028.727999999999</v>
      </c>
      <c r="AD38" s="274">
        <v>31855.294000000002</v>
      </c>
      <c r="AE38" s="274">
        <v>32568.539000000001</v>
      </c>
      <c r="AF38" s="274">
        <v>33144.536999999997</v>
      </c>
      <c r="AG38" s="274">
        <v>33614.152999999998</v>
      </c>
      <c r="AH38" s="274">
        <v>34053.430999999997</v>
      </c>
      <c r="AI38" s="274">
        <v>34569.428</v>
      </c>
      <c r="AJ38" s="274">
        <v>35239.974000000002</v>
      </c>
      <c r="AK38" s="274">
        <v>36093.319000000003</v>
      </c>
      <c r="AL38" s="274">
        <v>37109.517</v>
      </c>
      <c r="AM38" s="274">
        <v>38259.375999999997</v>
      </c>
      <c r="AN38" s="274">
        <v>39493.502999999997</v>
      </c>
      <c r="AO38" s="274">
        <v>40775.997000000003</v>
      </c>
      <c r="AP38" s="274">
        <v>42097.110999999997</v>
      </c>
      <c r="AQ38" s="274">
        <v>43470.218999999997</v>
      </c>
      <c r="AR38" s="274">
        <v>44908.705000000002</v>
      </c>
      <c r="AS38" s="274">
        <v>46433.603999999999</v>
      </c>
      <c r="AT38" s="274">
        <v>48057.093999999997</v>
      </c>
      <c r="AU38" s="274">
        <v>49784.987000000001</v>
      </c>
      <c r="AV38" s="274">
        <v>51602.775999999998</v>
      </c>
      <c r="AW38" s="274">
        <v>53477.944000000003</v>
      </c>
      <c r="AX38" s="274">
        <v>55366.517</v>
      </c>
      <c r="AY38" s="274">
        <v>57237.226000000002</v>
      </c>
      <c r="AZ38" s="274">
        <v>59076.413999999997</v>
      </c>
      <c r="BA38" s="274">
        <v>60893.264000000003</v>
      </c>
      <c r="BB38" s="274">
        <v>62707.546999999999</v>
      </c>
      <c r="BC38" s="274">
        <v>64550.161</v>
      </c>
      <c r="BD38" s="274">
        <v>66443.603000000003</v>
      </c>
      <c r="BE38" s="274">
        <v>68393.127999999997</v>
      </c>
      <c r="BF38" s="274">
        <v>70391.17</v>
      </c>
      <c r="BG38" s="274">
        <v>72432.289999999994</v>
      </c>
      <c r="BH38" s="274">
        <v>74506.974000000002</v>
      </c>
      <c r="BI38" s="274">
        <v>76608.430999999997</v>
      </c>
      <c r="BJ38" s="274">
        <v>78735.675000000003</v>
      </c>
      <c r="BK38" s="274">
        <v>80891.967999999993</v>
      </c>
      <c r="BL38" s="274">
        <v>83079.607999999993</v>
      </c>
      <c r="BM38" s="274">
        <v>85302.099000000002</v>
      </c>
      <c r="BN38" s="274">
        <v>87561.813999999998</v>
      </c>
      <c r="BO38" s="274">
        <v>89858.695999999996</v>
      </c>
      <c r="BP38" s="274">
        <v>92191.210999999996</v>
      </c>
      <c r="BQ38" s="274">
        <v>94558.373999999996</v>
      </c>
      <c r="BR38" s="274">
        <v>96958.732000000004</v>
      </c>
      <c r="BS38" s="274">
        <v>99390.75</v>
      </c>
    </row>
    <row r="39" spans="1:71" x14ac:dyDescent="0.4">
      <c r="A39" s="270">
        <v>20</v>
      </c>
      <c r="B39" s="271" t="s">
        <v>890</v>
      </c>
      <c r="C39" s="276" t="s">
        <v>498</v>
      </c>
      <c r="D39" s="273"/>
      <c r="E39" s="273">
        <v>404</v>
      </c>
      <c r="F39" s="274">
        <v>6076.7569999999996</v>
      </c>
      <c r="G39" s="274">
        <v>6240.1769999999997</v>
      </c>
      <c r="H39" s="274">
        <v>6412.38</v>
      </c>
      <c r="I39" s="274">
        <v>6593.1229999999996</v>
      </c>
      <c r="J39" s="274">
        <v>6782.3</v>
      </c>
      <c r="K39" s="274">
        <v>6979.9390000000003</v>
      </c>
      <c r="L39" s="274">
        <v>7186.2120000000004</v>
      </c>
      <c r="M39" s="274">
        <v>7401.4219999999996</v>
      </c>
      <c r="N39" s="274">
        <v>7626</v>
      </c>
      <c r="O39" s="274">
        <v>7860.48</v>
      </c>
      <c r="P39" s="274">
        <v>8105.44</v>
      </c>
      <c r="Q39" s="274">
        <v>8361.4419999999991</v>
      </c>
      <c r="R39" s="274">
        <v>8628.973</v>
      </c>
      <c r="S39" s="274">
        <v>8908.4249999999993</v>
      </c>
      <c r="T39" s="274">
        <v>9200.1579999999994</v>
      </c>
      <c r="U39" s="274">
        <v>9504.7019999999993</v>
      </c>
      <c r="V39" s="274">
        <v>9822.5049999999992</v>
      </c>
      <c r="W39" s="274">
        <v>10154.489</v>
      </c>
      <c r="X39" s="274">
        <v>10502.25</v>
      </c>
      <c r="Y39" s="274">
        <v>10867.717000000001</v>
      </c>
      <c r="Z39" s="274">
        <v>11252.466</v>
      </c>
      <c r="AA39" s="274">
        <v>11657.478999999999</v>
      </c>
      <c r="AB39" s="274">
        <v>12083.165000000001</v>
      </c>
      <c r="AC39" s="274">
        <v>12529.81</v>
      </c>
      <c r="AD39" s="274">
        <v>12997.447</v>
      </c>
      <c r="AE39" s="274">
        <v>13486.241</v>
      </c>
      <c r="AF39" s="274">
        <v>13995.974</v>
      </c>
      <c r="AG39" s="274">
        <v>14527.187</v>
      </c>
      <c r="AH39" s="274">
        <v>15081.598</v>
      </c>
      <c r="AI39" s="274">
        <v>15661.414000000001</v>
      </c>
      <c r="AJ39" s="274">
        <v>16267.906000000001</v>
      </c>
      <c r="AK39" s="274">
        <v>16901.181</v>
      </c>
      <c r="AL39" s="274">
        <v>17559.777999999998</v>
      </c>
      <c r="AM39" s="274">
        <v>18241.330999999998</v>
      </c>
      <c r="AN39" s="274">
        <v>18942.598999999998</v>
      </c>
      <c r="AO39" s="274">
        <v>19660.713</v>
      </c>
      <c r="AP39" s="274">
        <v>20393.723999999998</v>
      </c>
      <c r="AQ39" s="274">
        <v>21140.344000000001</v>
      </c>
      <c r="AR39" s="274">
        <v>21899.004000000001</v>
      </c>
      <c r="AS39" s="274">
        <v>22668.238000000001</v>
      </c>
      <c r="AT39" s="274">
        <v>23446.228999999999</v>
      </c>
      <c r="AU39" s="274">
        <v>24234.087</v>
      </c>
      <c r="AV39" s="274">
        <v>25029.754000000001</v>
      </c>
      <c r="AW39" s="274">
        <v>25824.736000000001</v>
      </c>
      <c r="AX39" s="274">
        <v>26608.089</v>
      </c>
      <c r="AY39" s="274">
        <v>27373.035</v>
      </c>
      <c r="AZ39" s="274">
        <v>28116.026999999998</v>
      </c>
      <c r="BA39" s="274">
        <v>28842.244999999999</v>
      </c>
      <c r="BB39" s="274">
        <v>29564.614000000001</v>
      </c>
      <c r="BC39" s="274">
        <v>30301.24</v>
      </c>
      <c r="BD39" s="274">
        <v>31065.82</v>
      </c>
      <c r="BE39" s="274">
        <v>31863.279999999999</v>
      </c>
      <c r="BF39" s="274">
        <v>32691.98</v>
      </c>
      <c r="BG39" s="274">
        <v>33551.078999999998</v>
      </c>
      <c r="BH39" s="274">
        <v>34437.46</v>
      </c>
      <c r="BI39" s="274">
        <v>35349.040000000001</v>
      </c>
      <c r="BJ39" s="274">
        <v>36286.014999999999</v>
      </c>
      <c r="BK39" s="274">
        <v>37250.54</v>
      </c>
      <c r="BL39" s="274">
        <v>38244.442000000003</v>
      </c>
      <c r="BM39" s="274">
        <v>39269.987999999998</v>
      </c>
      <c r="BN39" s="274">
        <v>40328.313000000002</v>
      </c>
      <c r="BO39" s="274">
        <v>41419.953999999998</v>
      </c>
      <c r="BP39" s="274">
        <v>42542.978000000003</v>
      </c>
      <c r="BQ39" s="274">
        <v>43692.881000000001</v>
      </c>
      <c r="BR39" s="274">
        <v>44863.582999999999</v>
      </c>
      <c r="BS39" s="274">
        <v>46050.302000000003</v>
      </c>
    </row>
    <row r="40" spans="1:71" x14ac:dyDescent="0.4">
      <c r="A40" s="270">
        <v>21</v>
      </c>
      <c r="B40" s="271" t="s">
        <v>890</v>
      </c>
      <c r="C40" s="276" t="s">
        <v>546</v>
      </c>
      <c r="D40" s="273"/>
      <c r="E40" s="273">
        <v>450</v>
      </c>
      <c r="F40" s="274">
        <v>4083.5540000000001</v>
      </c>
      <c r="G40" s="274">
        <v>4167.8270000000002</v>
      </c>
      <c r="H40" s="274">
        <v>4256.12</v>
      </c>
      <c r="I40" s="274">
        <v>4348.2389999999996</v>
      </c>
      <c r="J40" s="274">
        <v>4444.0609999999997</v>
      </c>
      <c r="K40" s="274">
        <v>4543.5420000000004</v>
      </c>
      <c r="L40" s="274">
        <v>4646.7139999999999</v>
      </c>
      <c r="M40" s="274">
        <v>4753.6850000000004</v>
      </c>
      <c r="N40" s="274">
        <v>4864.6310000000003</v>
      </c>
      <c r="O40" s="274">
        <v>4979.7790000000005</v>
      </c>
      <c r="P40" s="274">
        <v>5099.3710000000001</v>
      </c>
      <c r="Q40" s="274">
        <v>5223.6210000000001</v>
      </c>
      <c r="R40" s="274">
        <v>5352.674</v>
      </c>
      <c r="S40" s="274">
        <v>5486.5929999999998</v>
      </c>
      <c r="T40" s="274">
        <v>5625.4009999999998</v>
      </c>
      <c r="U40" s="274">
        <v>5769.2190000000001</v>
      </c>
      <c r="V40" s="274">
        <v>5918.06</v>
      </c>
      <c r="W40" s="274">
        <v>6072.27</v>
      </c>
      <c r="X40" s="274">
        <v>6232.7039999999997</v>
      </c>
      <c r="Y40" s="274">
        <v>6400.4539999999997</v>
      </c>
      <c r="Z40" s="274">
        <v>6576.3010000000004</v>
      </c>
      <c r="AA40" s="274">
        <v>6760.3519999999999</v>
      </c>
      <c r="AB40" s="274">
        <v>6952.3829999999998</v>
      </c>
      <c r="AC40" s="274">
        <v>7152.3909999999996</v>
      </c>
      <c r="AD40" s="274">
        <v>7360.2709999999997</v>
      </c>
      <c r="AE40" s="274">
        <v>7575.7569999999996</v>
      </c>
      <c r="AF40" s="274">
        <v>7799.6419999999998</v>
      </c>
      <c r="AG40" s="274">
        <v>8031.5889999999999</v>
      </c>
      <c r="AH40" s="274">
        <v>8268.902</v>
      </c>
      <c r="AI40" s="274">
        <v>8507.9580000000005</v>
      </c>
      <c r="AJ40" s="274">
        <v>8746.5159999999996</v>
      </c>
      <c r="AK40" s="274">
        <v>8983.4940000000006</v>
      </c>
      <c r="AL40" s="274">
        <v>9220.6929999999993</v>
      </c>
      <c r="AM40" s="274">
        <v>9462.3430000000008</v>
      </c>
      <c r="AN40" s="274">
        <v>9714.3420000000006</v>
      </c>
      <c r="AO40" s="274">
        <v>9981.1129999999994</v>
      </c>
      <c r="AP40" s="274">
        <v>10264.368</v>
      </c>
      <c r="AQ40" s="274">
        <v>10563.491</v>
      </c>
      <c r="AR40" s="274">
        <v>10877.757</v>
      </c>
      <c r="AS40" s="274">
        <v>11205.548000000001</v>
      </c>
      <c r="AT40" s="274">
        <v>11545.781999999999</v>
      </c>
      <c r="AU40" s="274">
        <v>11898.267</v>
      </c>
      <c r="AV40" s="274">
        <v>12263.898999999999</v>
      </c>
      <c r="AW40" s="274">
        <v>12643.864</v>
      </c>
      <c r="AX40" s="274">
        <v>13039.754000000001</v>
      </c>
      <c r="AY40" s="274">
        <v>13452.526</v>
      </c>
      <c r="AZ40" s="274">
        <v>13882.646000000001</v>
      </c>
      <c r="BA40" s="274">
        <v>14329.239</v>
      </c>
      <c r="BB40" s="274">
        <v>14790.245000000001</v>
      </c>
      <c r="BC40" s="274">
        <v>15262.816999999999</v>
      </c>
      <c r="BD40" s="274">
        <v>15744.811</v>
      </c>
      <c r="BE40" s="274">
        <v>16235.767</v>
      </c>
      <c r="BF40" s="274">
        <v>16736.028999999999</v>
      </c>
      <c r="BG40" s="274">
        <v>17245.275000000001</v>
      </c>
      <c r="BH40" s="274">
        <v>17763.366999999998</v>
      </c>
      <c r="BI40" s="274">
        <v>18290.394</v>
      </c>
      <c r="BJ40" s="274">
        <v>18826.129000000001</v>
      </c>
      <c r="BK40" s="274">
        <v>19371.030999999999</v>
      </c>
      <c r="BL40" s="274">
        <v>19926.797999999999</v>
      </c>
      <c r="BM40" s="274">
        <v>20495.705999999998</v>
      </c>
      <c r="BN40" s="274">
        <v>21079.531999999999</v>
      </c>
      <c r="BO40" s="274">
        <v>21678.866999999998</v>
      </c>
      <c r="BP40" s="274">
        <v>22293.72</v>
      </c>
      <c r="BQ40" s="274">
        <v>22924.557000000001</v>
      </c>
      <c r="BR40" s="274">
        <v>23571.713</v>
      </c>
      <c r="BS40" s="274">
        <v>24235.39</v>
      </c>
    </row>
    <row r="41" spans="1:71" x14ac:dyDescent="0.4">
      <c r="A41" s="270">
        <v>22</v>
      </c>
      <c r="B41" s="271" t="s">
        <v>890</v>
      </c>
      <c r="C41" s="276" t="s">
        <v>550</v>
      </c>
      <c r="D41" s="273"/>
      <c r="E41" s="273">
        <v>454</v>
      </c>
      <c r="F41" s="274">
        <v>2953.8710000000001</v>
      </c>
      <c r="G41" s="274">
        <v>3008.0740000000001</v>
      </c>
      <c r="H41" s="274">
        <v>3065.03</v>
      </c>
      <c r="I41" s="274">
        <v>3124.7310000000002</v>
      </c>
      <c r="J41" s="274">
        <v>3187.172</v>
      </c>
      <c r="K41" s="274">
        <v>3252.3409999999999</v>
      </c>
      <c r="L41" s="274">
        <v>3320.2220000000002</v>
      </c>
      <c r="M41" s="274">
        <v>3390.7979999999998</v>
      </c>
      <c r="N41" s="274">
        <v>3464.05</v>
      </c>
      <c r="O41" s="274">
        <v>3539.9749999999999</v>
      </c>
      <c r="P41" s="274">
        <v>3618.6039999999998</v>
      </c>
      <c r="Q41" s="274">
        <v>3700.0320000000002</v>
      </c>
      <c r="R41" s="274">
        <v>3784.444</v>
      </c>
      <c r="S41" s="274">
        <v>3872.1239999999998</v>
      </c>
      <c r="T41" s="274">
        <v>3963.424</v>
      </c>
      <c r="U41" s="274">
        <v>4058.68</v>
      </c>
      <c r="V41" s="274">
        <v>4158.1319999999996</v>
      </c>
      <c r="W41" s="274">
        <v>4262.0129999999999</v>
      </c>
      <c r="X41" s="274">
        <v>4370.6639999999998</v>
      </c>
      <c r="Y41" s="274">
        <v>4484.4560000000001</v>
      </c>
      <c r="Z41" s="274">
        <v>4603.7389999999996</v>
      </c>
      <c r="AA41" s="274">
        <v>4728.6930000000002</v>
      </c>
      <c r="AB41" s="274">
        <v>4859.5690000000004</v>
      </c>
      <c r="AC41" s="274">
        <v>4996.8609999999999</v>
      </c>
      <c r="AD41" s="274">
        <v>5141.1379999999999</v>
      </c>
      <c r="AE41" s="274">
        <v>5292.8159999999998</v>
      </c>
      <c r="AF41" s="274">
        <v>5454.8389999999999</v>
      </c>
      <c r="AG41" s="274">
        <v>5627.7879999999996</v>
      </c>
      <c r="AH41" s="274">
        <v>5807.17</v>
      </c>
      <c r="AI41" s="274">
        <v>5986.6390000000001</v>
      </c>
      <c r="AJ41" s="274">
        <v>6163.2250000000004</v>
      </c>
      <c r="AK41" s="274">
        <v>6327.3440000000001</v>
      </c>
      <c r="AL41" s="274">
        <v>6483.5709999999999</v>
      </c>
      <c r="AM41" s="274">
        <v>6659.4530000000004</v>
      </c>
      <c r="AN41" s="274">
        <v>6892.527</v>
      </c>
      <c r="AO41" s="274">
        <v>7205.6350000000002</v>
      </c>
      <c r="AP41" s="274">
        <v>7617.1369999999997</v>
      </c>
      <c r="AQ41" s="274">
        <v>8108.4840000000004</v>
      </c>
      <c r="AR41" s="274">
        <v>8620.9419999999991</v>
      </c>
      <c r="AS41" s="274">
        <v>9073.0879999999997</v>
      </c>
      <c r="AT41" s="274">
        <v>9408.9979999999996</v>
      </c>
      <c r="AU41" s="274">
        <v>9604.1990000000005</v>
      </c>
      <c r="AV41" s="274">
        <v>9682.9179999999997</v>
      </c>
      <c r="AW41" s="274">
        <v>9697.6350000000002</v>
      </c>
      <c r="AX41" s="274">
        <v>9725.6119999999992</v>
      </c>
      <c r="AY41" s="274">
        <v>9822.8119999999999</v>
      </c>
      <c r="AZ41" s="274">
        <v>10006.767</v>
      </c>
      <c r="BA41" s="274">
        <v>10260.421</v>
      </c>
      <c r="BB41" s="274">
        <v>10563.554</v>
      </c>
      <c r="BC41" s="274">
        <v>10882.543</v>
      </c>
      <c r="BD41" s="274">
        <v>11193.23</v>
      </c>
      <c r="BE41" s="274">
        <v>11491.824000000001</v>
      </c>
      <c r="BF41" s="274">
        <v>11788.731</v>
      </c>
      <c r="BG41" s="274">
        <v>12090.476000000001</v>
      </c>
      <c r="BH41" s="274">
        <v>12407.618</v>
      </c>
      <c r="BI41" s="274">
        <v>12747.846</v>
      </c>
      <c r="BJ41" s="274">
        <v>13112.383</v>
      </c>
      <c r="BK41" s="274">
        <v>13498.377</v>
      </c>
      <c r="BL41" s="274">
        <v>13904.671</v>
      </c>
      <c r="BM41" s="274">
        <v>14329.056</v>
      </c>
      <c r="BN41" s="274">
        <v>14769.824000000001</v>
      </c>
      <c r="BO41" s="274">
        <v>15226.813</v>
      </c>
      <c r="BP41" s="274">
        <v>15700.436</v>
      </c>
      <c r="BQ41" s="274">
        <v>16190.126</v>
      </c>
      <c r="BR41" s="274">
        <v>16695.253000000001</v>
      </c>
      <c r="BS41" s="274">
        <v>17215.232</v>
      </c>
    </row>
    <row r="42" spans="1:71" x14ac:dyDescent="0.4">
      <c r="A42" s="270">
        <v>23</v>
      </c>
      <c r="B42" s="271" t="s">
        <v>890</v>
      </c>
      <c r="C42" s="276" t="s">
        <v>574</v>
      </c>
      <c r="D42" s="273">
        <v>1</v>
      </c>
      <c r="E42" s="273">
        <v>480</v>
      </c>
      <c r="F42" s="274">
        <v>493.25400000000002</v>
      </c>
      <c r="G42" s="274">
        <v>506.43099999999998</v>
      </c>
      <c r="H42" s="274">
        <v>521.19000000000005</v>
      </c>
      <c r="I42" s="274">
        <v>537.048</v>
      </c>
      <c r="J42" s="274">
        <v>553.62300000000005</v>
      </c>
      <c r="K42" s="274">
        <v>570.64499999999998</v>
      </c>
      <c r="L42" s="274">
        <v>587.94899999999996</v>
      </c>
      <c r="M42" s="274">
        <v>605.48199999999997</v>
      </c>
      <c r="N42" s="274">
        <v>623.27499999999998</v>
      </c>
      <c r="O42" s="274">
        <v>641.42700000000002</v>
      </c>
      <c r="P42" s="274">
        <v>660.02300000000002</v>
      </c>
      <c r="Q42" s="274">
        <v>679.04499999999996</v>
      </c>
      <c r="R42" s="274">
        <v>698.30700000000002</v>
      </c>
      <c r="S42" s="274">
        <v>717.41300000000001</v>
      </c>
      <c r="T42" s="274">
        <v>735.86</v>
      </c>
      <c r="U42" s="274">
        <v>753.28499999999997</v>
      </c>
      <c r="V42" s="274">
        <v>769.55600000000004</v>
      </c>
      <c r="W42" s="274">
        <v>784.77700000000004</v>
      </c>
      <c r="X42" s="274">
        <v>799.13900000000001</v>
      </c>
      <c r="Y42" s="274">
        <v>812.94399999999996</v>
      </c>
      <c r="Z42" s="274">
        <v>826.447</v>
      </c>
      <c r="AA42" s="274">
        <v>839.6</v>
      </c>
      <c r="AB42" s="274">
        <v>852.39700000000005</v>
      </c>
      <c r="AC42" s="274">
        <v>865.173</v>
      </c>
      <c r="AD42" s="274">
        <v>878.35500000000002</v>
      </c>
      <c r="AE42" s="274">
        <v>892.20799999999997</v>
      </c>
      <c r="AF42" s="274">
        <v>906.92600000000004</v>
      </c>
      <c r="AG42" s="274">
        <v>922.32500000000005</v>
      </c>
      <c r="AH42" s="274">
        <v>937.82</v>
      </c>
      <c r="AI42" s="274">
        <v>952.58699999999999</v>
      </c>
      <c r="AJ42" s="274">
        <v>966.03599999999994</v>
      </c>
      <c r="AK42" s="274">
        <v>978.06700000000001</v>
      </c>
      <c r="AL42" s="274">
        <v>988.89</v>
      </c>
      <c r="AM42" s="274">
        <v>998.625</v>
      </c>
      <c r="AN42" s="274">
        <v>1007.503</v>
      </c>
      <c r="AO42" s="274">
        <v>1015.763</v>
      </c>
      <c r="AP42" s="274">
        <v>1023.278</v>
      </c>
      <c r="AQ42" s="274">
        <v>1030.175</v>
      </c>
      <c r="AR42" s="274">
        <v>1037.26</v>
      </c>
      <c r="AS42" s="274">
        <v>1045.588</v>
      </c>
      <c r="AT42" s="274">
        <v>1055.865</v>
      </c>
      <c r="AU42" s="274">
        <v>1068.4349999999999</v>
      </c>
      <c r="AV42" s="274">
        <v>1082.9580000000001</v>
      </c>
      <c r="AW42" s="274">
        <v>1098.598</v>
      </c>
      <c r="AX42" s="274">
        <v>1114.1400000000001</v>
      </c>
      <c r="AY42" s="274">
        <v>1128.6759999999999</v>
      </c>
      <c r="AZ42" s="274">
        <v>1141.9490000000001</v>
      </c>
      <c r="BA42" s="274">
        <v>1154.1369999999999</v>
      </c>
      <c r="BB42" s="274">
        <v>1165.288</v>
      </c>
      <c r="BC42" s="274">
        <v>1175.577</v>
      </c>
      <c r="BD42" s="274">
        <v>1185.143</v>
      </c>
      <c r="BE42" s="274">
        <v>1193.95</v>
      </c>
      <c r="BF42" s="274">
        <v>1201.931</v>
      </c>
      <c r="BG42" s="274">
        <v>1209.182</v>
      </c>
      <c r="BH42" s="274">
        <v>1215.835</v>
      </c>
      <c r="BI42" s="274">
        <v>1222.0060000000001</v>
      </c>
      <c r="BJ42" s="274">
        <v>1227.7139999999999</v>
      </c>
      <c r="BK42" s="274">
        <v>1232.9970000000001</v>
      </c>
      <c r="BL42" s="274">
        <v>1238.0129999999999</v>
      </c>
      <c r="BM42" s="274">
        <v>1242.954</v>
      </c>
      <c r="BN42" s="274">
        <v>1247.951</v>
      </c>
      <c r="BO42" s="274">
        <v>1253.0889999999999</v>
      </c>
      <c r="BP42" s="274">
        <v>1258.335</v>
      </c>
      <c r="BQ42" s="274">
        <v>1263.56</v>
      </c>
      <c r="BR42" s="274">
        <v>1268.567</v>
      </c>
      <c r="BS42" s="274">
        <v>1273.212</v>
      </c>
    </row>
    <row r="43" spans="1:71" x14ac:dyDescent="0.4">
      <c r="A43" s="270">
        <v>24</v>
      </c>
      <c r="B43" s="271" t="s">
        <v>890</v>
      </c>
      <c r="C43" s="276" t="s">
        <v>911</v>
      </c>
      <c r="D43" s="273"/>
      <c r="E43" s="273">
        <v>175</v>
      </c>
      <c r="F43" s="274">
        <v>15.141</v>
      </c>
      <c r="G43" s="274">
        <v>15.733000000000001</v>
      </c>
      <c r="H43" s="274">
        <v>16.448</v>
      </c>
      <c r="I43" s="274">
        <v>17.245999999999999</v>
      </c>
      <c r="J43" s="274">
        <v>18.097999999999999</v>
      </c>
      <c r="K43" s="274">
        <v>18.984000000000002</v>
      </c>
      <c r="L43" s="274">
        <v>19.898</v>
      </c>
      <c r="M43" s="274">
        <v>20.843</v>
      </c>
      <c r="N43" s="274">
        <v>21.832000000000001</v>
      </c>
      <c r="O43" s="274">
        <v>22.885999999999999</v>
      </c>
      <c r="P43" s="274">
        <v>24.018999999999998</v>
      </c>
      <c r="Q43" s="274">
        <v>25.24</v>
      </c>
      <c r="R43" s="274">
        <v>26.538</v>
      </c>
      <c r="S43" s="274">
        <v>27.879000000000001</v>
      </c>
      <c r="T43" s="274">
        <v>29.218</v>
      </c>
      <c r="U43" s="274">
        <v>30.524999999999999</v>
      </c>
      <c r="V43" s="274">
        <v>31.785</v>
      </c>
      <c r="W43" s="274">
        <v>33.012</v>
      </c>
      <c r="X43" s="274">
        <v>34.25</v>
      </c>
      <c r="Y43" s="274">
        <v>35.552999999999997</v>
      </c>
      <c r="Z43" s="274">
        <v>36.965000000000003</v>
      </c>
      <c r="AA43" s="274">
        <v>38.515999999999998</v>
      </c>
      <c r="AB43" s="274">
        <v>40.195</v>
      </c>
      <c r="AC43" s="274">
        <v>41.957999999999998</v>
      </c>
      <c r="AD43" s="274">
        <v>43.734000000000002</v>
      </c>
      <c r="AE43" s="274">
        <v>45.484000000000002</v>
      </c>
      <c r="AF43" s="274">
        <v>47.189</v>
      </c>
      <c r="AG43" s="274">
        <v>48.893000000000001</v>
      </c>
      <c r="AH43" s="274">
        <v>50.698999999999998</v>
      </c>
      <c r="AI43" s="274">
        <v>52.746000000000002</v>
      </c>
      <c r="AJ43" s="274">
        <v>55.136000000000003</v>
      </c>
      <c r="AK43" s="274">
        <v>57.908999999999999</v>
      </c>
      <c r="AL43" s="274">
        <v>61.042999999999999</v>
      </c>
      <c r="AM43" s="274">
        <v>64.497</v>
      </c>
      <c r="AN43" s="274">
        <v>68.200999999999993</v>
      </c>
      <c r="AO43" s="274">
        <v>72.103999999999999</v>
      </c>
      <c r="AP43" s="274">
        <v>76.182000000000002</v>
      </c>
      <c r="AQ43" s="274">
        <v>80.45</v>
      </c>
      <c r="AR43" s="274">
        <v>84.941999999999993</v>
      </c>
      <c r="AS43" s="274">
        <v>89.71</v>
      </c>
      <c r="AT43" s="274">
        <v>94.78</v>
      </c>
      <c r="AU43" s="274">
        <v>100.167</v>
      </c>
      <c r="AV43" s="274">
        <v>105.82599999999999</v>
      </c>
      <c r="AW43" s="274">
        <v>111.64100000000001</v>
      </c>
      <c r="AX43" s="274">
        <v>117.464</v>
      </c>
      <c r="AY43" s="274">
        <v>123.182</v>
      </c>
      <c r="AZ43" s="274">
        <v>128.756</v>
      </c>
      <c r="BA43" s="274">
        <v>134.21</v>
      </c>
      <c r="BB43" s="274">
        <v>139.58199999999999</v>
      </c>
      <c r="BC43" s="274">
        <v>144.93700000000001</v>
      </c>
      <c r="BD43" s="274">
        <v>150.32900000000001</v>
      </c>
      <c r="BE43" s="274">
        <v>155.755</v>
      </c>
      <c r="BF43" s="274">
        <v>161.20500000000001</v>
      </c>
      <c r="BG43" s="274">
        <v>166.71899999999999</v>
      </c>
      <c r="BH43" s="274">
        <v>172.34100000000001</v>
      </c>
      <c r="BI43" s="274">
        <v>178.10300000000001</v>
      </c>
      <c r="BJ43" s="274">
        <v>184.02600000000001</v>
      </c>
      <c r="BK43" s="274">
        <v>190.1</v>
      </c>
      <c r="BL43" s="274">
        <v>196.28</v>
      </c>
      <c r="BM43" s="274">
        <v>202.50299999999999</v>
      </c>
      <c r="BN43" s="274">
        <v>208.72300000000001</v>
      </c>
      <c r="BO43" s="274">
        <v>214.92400000000001</v>
      </c>
      <c r="BP43" s="274">
        <v>221.12299999999999</v>
      </c>
      <c r="BQ43" s="274">
        <v>227.34800000000001</v>
      </c>
      <c r="BR43" s="274">
        <v>233.63499999999999</v>
      </c>
      <c r="BS43" s="274">
        <v>240.01499999999999</v>
      </c>
    </row>
    <row r="44" spans="1:71" x14ac:dyDescent="0.4">
      <c r="A44" s="270">
        <v>25</v>
      </c>
      <c r="B44" s="271" t="s">
        <v>890</v>
      </c>
      <c r="C44" s="276" t="s">
        <v>596</v>
      </c>
      <c r="D44" s="273"/>
      <c r="E44" s="273">
        <v>508</v>
      </c>
      <c r="F44" s="274">
        <v>6313.29</v>
      </c>
      <c r="G44" s="274">
        <v>6405.0680000000002</v>
      </c>
      <c r="H44" s="274">
        <v>6503.1059999999998</v>
      </c>
      <c r="I44" s="274">
        <v>6607.0940000000001</v>
      </c>
      <c r="J44" s="274">
        <v>6716.8109999999997</v>
      </c>
      <c r="K44" s="274">
        <v>6832.1149999999998</v>
      </c>
      <c r="L44" s="274">
        <v>6952.9549999999999</v>
      </c>
      <c r="M44" s="274">
        <v>7079.3630000000003</v>
      </c>
      <c r="N44" s="274">
        <v>7211.4459999999999</v>
      </c>
      <c r="O44" s="274">
        <v>7349.3649999999998</v>
      </c>
      <c r="P44" s="274">
        <v>7493.2780000000002</v>
      </c>
      <c r="Q44" s="274">
        <v>7643.29</v>
      </c>
      <c r="R44" s="274">
        <v>7799.3959999999997</v>
      </c>
      <c r="S44" s="274">
        <v>7961.4579999999996</v>
      </c>
      <c r="T44" s="274">
        <v>8129.268</v>
      </c>
      <c r="U44" s="274">
        <v>8302.7360000000008</v>
      </c>
      <c r="V44" s="274">
        <v>8482.3729999999996</v>
      </c>
      <c r="W44" s="274">
        <v>8668.5290000000005</v>
      </c>
      <c r="X44" s="274">
        <v>8860.8230000000003</v>
      </c>
      <c r="Y44" s="274">
        <v>9058.6910000000007</v>
      </c>
      <c r="Z44" s="274">
        <v>9262.0779999999995</v>
      </c>
      <c r="AA44" s="274">
        <v>9468.8359999999993</v>
      </c>
      <c r="AB44" s="274">
        <v>9679.7530000000006</v>
      </c>
      <c r="AC44" s="274">
        <v>9901.0519999999997</v>
      </c>
      <c r="AD44" s="274">
        <v>10141.147000000001</v>
      </c>
      <c r="AE44" s="274">
        <v>10405</v>
      </c>
      <c r="AF44" s="274">
        <v>10693.688</v>
      </c>
      <c r="AG44" s="274">
        <v>11001.909</v>
      </c>
      <c r="AH44" s="274">
        <v>11320.102999999999</v>
      </c>
      <c r="AI44" s="274">
        <v>11635.174000000001</v>
      </c>
      <c r="AJ44" s="274">
        <v>11936.379000000001</v>
      </c>
      <c r="AK44" s="274">
        <v>12228.508</v>
      </c>
      <c r="AL44" s="274">
        <v>12511.864</v>
      </c>
      <c r="AM44" s="274">
        <v>12766.859</v>
      </c>
      <c r="AN44" s="274">
        <v>12968.334999999999</v>
      </c>
      <c r="AO44" s="274">
        <v>13102.982</v>
      </c>
      <c r="AP44" s="274">
        <v>13155.271000000001</v>
      </c>
      <c r="AQ44" s="274">
        <v>13142.516</v>
      </c>
      <c r="AR44" s="274">
        <v>13124.285</v>
      </c>
      <c r="AS44" s="274">
        <v>13181.941000000001</v>
      </c>
      <c r="AT44" s="274">
        <v>13371.971</v>
      </c>
      <c r="AU44" s="274">
        <v>13719.852999999999</v>
      </c>
      <c r="AV44" s="274">
        <v>14203.986999999999</v>
      </c>
      <c r="AW44" s="274">
        <v>14775.877</v>
      </c>
      <c r="AX44" s="274">
        <v>15363.065000000001</v>
      </c>
      <c r="AY44" s="274">
        <v>15913.101000000001</v>
      </c>
      <c r="AZ44" s="274">
        <v>16410.776999999998</v>
      </c>
      <c r="BA44" s="274">
        <v>16872.896000000001</v>
      </c>
      <c r="BB44" s="274">
        <v>17317.376</v>
      </c>
      <c r="BC44" s="274">
        <v>17774.065999999999</v>
      </c>
      <c r="BD44" s="274">
        <v>18264.536</v>
      </c>
      <c r="BE44" s="274">
        <v>18792.357</v>
      </c>
      <c r="BF44" s="274">
        <v>19348.715</v>
      </c>
      <c r="BG44" s="274">
        <v>19928.495999999999</v>
      </c>
      <c r="BH44" s="274">
        <v>20523.159</v>
      </c>
      <c r="BI44" s="274">
        <v>21126.675999999999</v>
      </c>
      <c r="BJ44" s="274">
        <v>21737.86</v>
      </c>
      <c r="BK44" s="274">
        <v>22359.636999999999</v>
      </c>
      <c r="BL44" s="274">
        <v>22994.866999999998</v>
      </c>
      <c r="BM44" s="274">
        <v>23647.814999999999</v>
      </c>
      <c r="BN44" s="274">
        <v>24321.456999999999</v>
      </c>
      <c r="BO44" s="274">
        <v>25016.920999999998</v>
      </c>
      <c r="BP44" s="274">
        <v>25732.928</v>
      </c>
      <c r="BQ44" s="274">
        <v>26467.18</v>
      </c>
      <c r="BR44" s="274">
        <v>27216.276000000002</v>
      </c>
      <c r="BS44" s="274">
        <v>27977.863000000001</v>
      </c>
    </row>
    <row r="45" spans="1:71" x14ac:dyDescent="0.4">
      <c r="A45" s="270">
        <v>26</v>
      </c>
      <c r="B45" s="271" t="s">
        <v>890</v>
      </c>
      <c r="C45" s="276" t="s">
        <v>912</v>
      </c>
      <c r="D45" s="273"/>
      <c r="E45" s="273">
        <v>638</v>
      </c>
      <c r="F45" s="274">
        <v>248.11099999999999</v>
      </c>
      <c r="G45" s="274">
        <v>259.29300000000001</v>
      </c>
      <c r="H45" s="274">
        <v>268.48500000000001</v>
      </c>
      <c r="I45" s="274">
        <v>276.52600000000001</v>
      </c>
      <c r="J45" s="274">
        <v>284.084</v>
      </c>
      <c r="K45" s="274">
        <v>291.65800000000002</v>
      </c>
      <c r="L45" s="274">
        <v>299.572</v>
      </c>
      <c r="M45" s="274">
        <v>307.97800000000001</v>
      </c>
      <c r="N45" s="274">
        <v>316.88099999999997</v>
      </c>
      <c r="O45" s="274">
        <v>326.16399999999999</v>
      </c>
      <c r="P45" s="274">
        <v>335.69099999999997</v>
      </c>
      <c r="Q45" s="274">
        <v>345.40699999999998</v>
      </c>
      <c r="R45" s="274">
        <v>355.428</v>
      </c>
      <c r="S45" s="274">
        <v>366.08100000000002</v>
      </c>
      <c r="T45" s="274">
        <v>377.79300000000001</v>
      </c>
      <c r="U45" s="274">
        <v>390.77</v>
      </c>
      <c r="V45" s="274">
        <v>405.29</v>
      </c>
      <c r="W45" s="274">
        <v>420.99599999999998</v>
      </c>
      <c r="X45" s="274">
        <v>436.68799999999999</v>
      </c>
      <c r="Y45" s="274">
        <v>450.74099999999999</v>
      </c>
      <c r="Z45" s="274">
        <v>462.02499999999998</v>
      </c>
      <c r="AA45" s="274">
        <v>470.12</v>
      </c>
      <c r="AB45" s="274">
        <v>475.47199999999998</v>
      </c>
      <c r="AC45" s="274">
        <v>478.911</v>
      </c>
      <c r="AD45" s="274">
        <v>481.68900000000002</v>
      </c>
      <c r="AE45" s="274">
        <v>484.77600000000001</v>
      </c>
      <c r="AF45" s="274">
        <v>488.351</v>
      </c>
      <c r="AG45" s="274">
        <v>492.29199999999997</v>
      </c>
      <c r="AH45" s="274">
        <v>496.90899999999999</v>
      </c>
      <c r="AI45" s="274">
        <v>502.5</v>
      </c>
      <c r="AJ45" s="274">
        <v>509.25900000000001</v>
      </c>
      <c r="AK45" s="274">
        <v>517.41999999999996</v>
      </c>
      <c r="AL45" s="274">
        <v>526.94500000000005</v>
      </c>
      <c r="AM45" s="274">
        <v>537.399</v>
      </c>
      <c r="AN45" s="274">
        <v>548.13699999999994</v>
      </c>
      <c r="AO45" s="274">
        <v>558.70000000000005</v>
      </c>
      <c r="AP45" s="274">
        <v>568.91700000000003</v>
      </c>
      <c r="AQ45" s="274">
        <v>578.93299999999999</v>
      </c>
      <c r="AR45" s="274">
        <v>588.98699999999997</v>
      </c>
      <c r="AS45" s="274">
        <v>599.452</v>
      </c>
      <c r="AT45" s="274">
        <v>610.58199999999999</v>
      </c>
      <c r="AU45" s="274">
        <v>622.41399999999999</v>
      </c>
      <c r="AV45" s="274">
        <v>634.79899999999998</v>
      </c>
      <c r="AW45" s="274">
        <v>647.58799999999997</v>
      </c>
      <c r="AX45" s="274">
        <v>660.56100000000004</v>
      </c>
      <c r="AY45" s="274">
        <v>673.54200000000003</v>
      </c>
      <c r="AZ45" s="274">
        <v>686.46100000000001</v>
      </c>
      <c r="BA45" s="274">
        <v>699.29899999999998</v>
      </c>
      <c r="BB45" s="274">
        <v>711.99300000000005</v>
      </c>
      <c r="BC45" s="274">
        <v>724.48400000000004</v>
      </c>
      <c r="BD45" s="274">
        <v>736.71100000000001</v>
      </c>
      <c r="BE45" s="274">
        <v>748.649</v>
      </c>
      <c r="BF45" s="274">
        <v>760.23699999999997</v>
      </c>
      <c r="BG45" s="274">
        <v>771.35</v>
      </c>
      <c r="BH45" s="274">
        <v>781.83799999999997</v>
      </c>
      <c r="BI45" s="274">
        <v>791.60199999999998</v>
      </c>
      <c r="BJ45" s="274">
        <v>800.59799999999996</v>
      </c>
      <c r="BK45" s="274">
        <v>808.87</v>
      </c>
      <c r="BL45" s="274">
        <v>816.51700000000005</v>
      </c>
      <c r="BM45" s="274">
        <v>823.69100000000003</v>
      </c>
      <c r="BN45" s="274">
        <v>830.51599999999996</v>
      </c>
      <c r="BO45" s="274">
        <v>837.02</v>
      </c>
      <c r="BP45" s="274">
        <v>843.22199999999998</v>
      </c>
      <c r="BQ45" s="274">
        <v>849.23099999999999</v>
      </c>
      <c r="BR45" s="274">
        <v>855.17700000000002</v>
      </c>
      <c r="BS45" s="274">
        <v>861.154</v>
      </c>
    </row>
    <row r="46" spans="1:71" x14ac:dyDescent="0.4">
      <c r="A46" s="270">
        <v>27</v>
      </c>
      <c r="B46" s="271" t="s">
        <v>890</v>
      </c>
      <c r="C46" s="276" t="s">
        <v>57</v>
      </c>
      <c r="D46" s="273"/>
      <c r="E46" s="273">
        <v>646</v>
      </c>
      <c r="F46" s="274">
        <v>2186.1869999999999</v>
      </c>
      <c r="G46" s="274">
        <v>2250.6750000000002</v>
      </c>
      <c r="H46" s="274">
        <v>2313.306</v>
      </c>
      <c r="I46" s="274">
        <v>2378.442</v>
      </c>
      <c r="J46" s="274">
        <v>2448.8139999999999</v>
      </c>
      <c r="K46" s="274">
        <v>2525.5239999999999</v>
      </c>
      <c r="L46" s="274">
        <v>2607.9450000000002</v>
      </c>
      <c r="M46" s="274">
        <v>2693.819</v>
      </c>
      <c r="N46" s="274">
        <v>2779.55</v>
      </c>
      <c r="O46" s="274">
        <v>2860.694</v>
      </c>
      <c r="P46" s="274">
        <v>2933.424</v>
      </c>
      <c r="Q46" s="274">
        <v>2996.0909999999999</v>
      </c>
      <c r="R46" s="274">
        <v>3050.596</v>
      </c>
      <c r="S46" s="274">
        <v>3102.9679999999998</v>
      </c>
      <c r="T46" s="274">
        <v>3161.7190000000001</v>
      </c>
      <c r="U46" s="274">
        <v>3232.9369999999999</v>
      </c>
      <c r="V46" s="274">
        <v>3319.0770000000002</v>
      </c>
      <c r="W46" s="274">
        <v>3418.3130000000001</v>
      </c>
      <c r="X46" s="274">
        <v>3527.26</v>
      </c>
      <c r="Y46" s="274">
        <v>3640.5909999999999</v>
      </c>
      <c r="Z46" s="274">
        <v>3754.5459999999998</v>
      </c>
      <c r="AA46" s="274">
        <v>3868.3449999999998</v>
      </c>
      <c r="AB46" s="274">
        <v>3983.7069999999999</v>
      </c>
      <c r="AC46" s="274">
        <v>4102.3360000000002</v>
      </c>
      <c r="AD46" s="274">
        <v>4226.8360000000002</v>
      </c>
      <c r="AE46" s="274">
        <v>4359.1660000000002</v>
      </c>
      <c r="AF46" s="274">
        <v>4499.72</v>
      </c>
      <c r="AG46" s="274">
        <v>4648.07</v>
      </c>
      <c r="AH46" s="274">
        <v>4804.375</v>
      </c>
      <c r="AI46" s="274">
        <v>4968.6279999999997</v>
      </c>
      <c r="AJ46" s="274">
        <v>5140.7860000000001</v>
      </c>
      <c r="AK46" s="274">
        <v>5313.9080000000004</v>
      </c>
      <c r="AL46" s="274">
        <v>5486.4309999999996</v>
      </c>
      <c r="AM46" s="274">
        <v>5669.2510000000002</v>
      </c>
      <c r="AN46" s="274">
        <v>5877.5559999999996</v>
      </c>
      <c r="AO46" s="274">
        <v>6117.9660000000003</v>
      </c>
      <c r="AP46" s="274">
        <v>6410.5940000000001</v>
      </c>
      <c r="AQ46" s="274">
        <v>6742.39</v>
      </c>
      <c r="AR46" s="274">
        <v>7048.0749999999998</v>
      </c>
      <c r="AS46" s="274">
        <v>7239.0969999999998</v>
      </c>
      <c r="AT46" s="274">
        <v>7259.74</v>
      </c>
      <c r="AU46" s="274">
        <v>7071.393</v>
      </c>
      <c r="AV46" s="274">
        <v>6712.924</v>
      </c>
      <c r="AW46" s="274">
        <v>6300.3580000000002</v>
      </c>
      <c r="AX46" s="274">
        <v>5995.9870000000001</v>
      </c>
      <c r="AY46" s="274">
        <v>5912.7550000000001</v>
      </c>
      <c r="AZ46" s="274">
        <v>6097.6880000000001</v>
      </c>
      <c r="BA46" s="274">
        <v>6506.1180000000004</v>
      </c>
      <c r="BB46" s="274">
        <v>7047.1959999999999</v>
      </c>
      <c r="BC46" s="274">
        <v>7585.143</v>
      </c>
      <c r="BD46" s="274">
        <v>8021.875</v>
      </c>
      <c r="BE46" s="274">
        <v>8329.1129999999994</v>
      </c>
      <c r="BF46" s="274">
        <v>8539.0290000000005</v>
      </c>
      <c r="BG46" s="274">
        <v>8686.4689999999991</v>
      </c>
      <c r="BH46" s="274">
        <v>8828.9560000000001</v>
      </c>
      <c r="BI46" s="274">
        <v>9008.23</v>
      </c>
      <c r="BJ46" s="274">
        <v>9231.0409999999993</v>
      </c>
      <c r="BK46" s="274">
        <v>9481.0830000000005</v>
      </c>
      <c r="BL46" s="274">
        <v>9750.3140000000003</v>
      </c>
      <c r="BM46" s="274">
        <v>10024.593999999999</v>
      </c>
      <c r="BN46" s="274">
        <v>10293.669</v>
      </c>
      <c r="BO46" s="274">
        <v>10556.429</v>
      </c>
      <c r="BP46" s="274">
        <v>10817.35</v>
      </c>
      <c r="BQ46" s="274">
        <v>11078.094999999999</v>
      </c>
      <c r="BR46" s="274">
        <v>11341.544</v>
      </c>
      <c r="BS46" s="274">
        <v>11609.665999999999</v>
      </c>
    </row>
    <row r="47" spans="1:71" x14ac:dyDescent="0.4">
      <c r="A47" s="270">
        <v>28</v>
      </c>
      <c r="B47" s="271" t="s">
        <v>890</v>
      </c>
      <c r="C47" s="276" t="s">
        <v>719</v>
      </c>
      <c r="D47" s="273"/>
      <c r="E47" s="273">
        <v>690</v>
      </c>
      <c r="F47" s="274">
        <v>36.322000000000003</v>
      </c>
      <c r="G47" s="274">
        <v>36.883000000000003</v>
      </c>
      <c r="H47" s="274">
        <v>37.438000000000002</v>
      </c>
      <c r="I47" s="274">
        <v>37.966000000000001</v>
      </c>
      <c r="J47" s="274">
        <v>38.453000000000003</v>
      </c>
      <c r="K47" s="274">
        <v>38.904000000000003</v>
      </c>
      <c r="L47" s="274">
        <v>39.332000000000001</v>
      </c>
      <c r="M47" s="274">
        <v>39.768999999999998</v>
      </c>
      <c r="N47" s="274">
        <v>40.252000000000002</v>
      </c>
      <c r="O47" s="274">
        <v>40.829000000000001</v>
      </c>
      <c r="P47" s="274">
        <v>41.537999999999997</v>
      </c>
      <c r="Q47" s="274">
        <v>42.402000000000001</v>
      </c>
      <c r="R47" s="274">
        <v>43.408999999999999</v>
      </c>
      <c r="S47" s="274">
        <v>44.515000000000001</v>
      </c>
      <c r="T47" s="274">
        <v>45.651000000000003</v>
      </c>
      <c r="U47" s="274">
        <v>46.77</v>
      </c>
      <c r="V47" s="274">
        <v>47.850999999999999</v>
      </c>
      <c r="W47" s="274">
        <v>48.911000000000001</v>
      </c>
      <c r="X47" s="274">
        <v>49.984999999999999</v>
      </c>
      <c r="Y47" s="274">
        <v>51.124000000000002</v>
      </c>
      <c r="Z47" s="274">
        <v>52.363999999999997</v>
      </c>
      <c r="AA47" s="274">
        <v>53.706000000000003</v>
      </c>
      <c r="AB47" s="274">
        <v>55.128</v>
      </c>
      <c r="AC47" s="274">
        <v>56.604999999999997</v>
      </c>
      <c r="AD47" s="274">
        <v>58.101999999999997</v>
      </c>
      <c r="AE47" s="274">
        <v>59.588999999999999</v>
      </c>
      <c r="AF47" s="274">
        <v>61.058</v>
      </c>
      <c r="AG47" s="274">
        <v>62.5</v>
      </c>
      <c r="AH47" s="274">
        <v>63.88</v>
      </c>
      <c r="AI47" s="274">
        <v>65.153000000000006</v>
      </c>
      <c r="AJ47" s="274">
        <v>66.292000000000002</v>
      </c>
      <c r="AK47" s="274">
        <v>67.298000000000002</v>
      </c>
      <c r="AL47" s="274">
        <v>68.176000000000002</v>
      </c>
      <c r="AM47" s="274">
        <v>68.906000000000006</v>
      </c>
      <c r="AN47" s="274">
        <v>69.462999999999994</v>
      </c>
      <c r="AO47" s="274">
        <v>69.840999999999994</v>
      </c>
      <c r="AP47" s="274">
        <v>70.010999999999996</v>
      </c>
      <c r="AQ47" s="274">
        <v>70.010000000000005</v>
      </c>
      <c r="AR47" s="274">
        <v>69.989999999999995</v>
      </c>
      <c r="AS47" s="274">
        <v>70.150000000000006</v>
      </c>
      <c r="AT47" s="274">
        <v>70.626999999999995</v>
      </c>
      <c r="AU47" s="274">
        <v>71.495999999999995</v>
      </c>
      <c r="AV47" s="274">
        <v>72.706000000000003</v>
      </c>
      <c r="AW47" s="274">
        <v>74.111000000000004</v>
      </c>
      <c r="AX47" s="274">
        <v>75.492999999999995</v>
      </c>
      <c r="AY47" s="274">
        <v>76.703000000000003</v>
      </c>
      <c r="AZ47" s="274">
        <v>77.677999999999997</v>
      </c>
      <c r="BA47" s="274">
        <v>78.474000000000004</v>
      </c>
      <c r="BB47" s="274">
        <v>79.212999999999994</v>
      </c>
      <c r="BC47" s="274">
        <v>80.066000000000003</v>
      </c>
      <c r="BD47" s="274">
        <v>81.153999999999996</v>
      </c>
      <c r="BE47" s="274">
        <v>82.519000000000005</v>
      </c>
      <c r="BF47" s="274">
        <v>84.096000000000004</v>
      </c>
      <c r="BG47" s="274">
        <v>85.765000000000001</v>
      </c>
      <c r="BH47" s="274">
        <v>87.355999999999995</v>
      </c>
      <c r="BI47" s="274">
        <v>88.747</v>
      </c>
      <c r="BJ47" s="274">
        <v>89.896000000000001</v>
      </c>
      <c r="BK47" s="274">
        <v>90.840999999999994</v>
      </c>
      <c r="BL47" s="274">
        <v>91.634</v>
      </c>
      <c r="BM47" s="274">
        <v>92.36</v>
      </c>
      <c r="BN47" s="274">
        <v>93.081000000000003</v>
      </c>
      <c r="BO47" s="274">
        <v>93.81</v>
      </c>
      <c r="BP47" s="274">
        <v>94.524000000000001</v>
      </c>
      <c r="BQ47" s="274">
        <v>95.215000000000003</v>
      </c>
      <c r="BR47" s="274">
        <v>95.867999999999995</v>
      </c>
      <c r="BS47" s="274">
        <v>96.471000000000004</v>
      </c>
    </row>
    <row r="48" spans="1:71" x14ac:dyDescent="0.4">
      <c r="A48" s="270">
        <v>29</v>
      </c>
      <c r="B48" s="271" t="s">
        <v>890</v>
      </c>
      <c r="C48" s="276" t="s">
        <v>743</v>
      </c>
      <c r="D48" s="273"/>
      <c r="E48" s="273">
        <v>706</v>
      </c>
      <c r="F48" s="274">
        <v>2264.0810000000001</v>
      </c>
      <c r="G48" s="274">
        <v>2307.576</v>
      </c>
      <c r="H48" s="274">
        <v>2351.8110000000001</v>
      </c>
      <c r="I48" s="274">
        <v>2397.067</v>
      </c>
      <c r="J48" s="274">
        <v>2443.576</v>
      </c>
      <c r="K48" s="274">
        <v>2491.5300000000002</v>
      </c>
      <c r="L48" s="274">
        <v>2541.067</v>
      </c>
      <c r="M48" s="274">
        <v>2592.2779999999998</v>
      </c>
      <c r="N48" s="274">
        <v>2645.2190000000001</v>
      </c>
      <c r="O48" s="274">
        <v>2699.9119999999998</v>
      </c>
      <c r="P48" s="274">
        <v>2756.38</v>
      </c>
      <c r="Q48" s="274">
        <v>2814.683</v>
      </c>
      <c r="R48" s="274">
        <v>2874.944</v>
      </c>
      <c r="S48" s="274">
        <v>2937.36</v>
      </c>
      <c r="T48" s="274">
        <v>3002.1729999999998</v>
      </c>
      <c r="U48" s="274">
        <v>3069.558</v>
      </c>
      <c r="V48" s="274">
        <v>3144.2440000000001</v>
      </c>
      <c r="W48" s="274">
        <v>3227.2449999999999</v>
      </c>
      <c r="X48" s="274">
        <v>3311.1109999999999</v>
      </c>
      <c r="Y48" s="274">
        <v>3385.4140000000002</v>
      </c>
      <c r="Z48" s="274">
        <v>3445.42</v>
      </c>
      <c r="AA48" s="274">
        <v>3477.5680000000002</v>
      </c>
      <c r="AB48" s="274">
        <v>3490.2950000000001</v>
      </c>
      <c r="AC48" s="274">
        <v>3526.527</v>
      </c>
      <c r="AD48" s="274">
        <v>3644.5720000000001</v>
      </c>
      <c r="AE48" s="274">
        <v>3880.9549999999999</v>
      </c>
      <c r="AF48" s="274">
        <v>4259.6360000000004</v>
      </c>
      <c r="AG48" s="274">
        <v>4754.1490000000003</v>
      </c>
      <c r="AH48" s="274">
        <v>5289.049</v>
      </c>
      <c r="AI48" s="274">
        <v>5758.9610000000002</v>
      </c>
      <c r="AJ48" s="274">
        <v>6089.7070000000003</v>
      </c>
      <c r="AK48" s="274">
        <v>6251.73</v>
      </c>
      <c r="AL48" s="274">
        <v>6271.5379999999996</v>
      </c>
      <c r="AM48" s="274">
        <v>6199.6710000000003</v>
      </c>
      <c r="AN48" s="274">
        <v>6113.2520000000004</v>
      </c>
      <c r="AO48" s="274">
        <v>6068.4250000000002</v>
      </c>
      <c r="AP48" s="274">
        <v>6082.723</v>
      </c>
      <c r="AQ48" s="274">
        <v>6138.9070000000002</v>
      </c>
      <c r="AR48" s="274">
        <v>6217.3310000000001</v>
      </c>
      <c r="AS48" s="274">
        <v>6285.4560000000001</v>
      </c>
      <c r="AT48" s="274">
        <v>6321.6149999999998</v>
      </c>
      <c r="AU48" s="274">
        <v>6319.5309999999999</v>
      </c>
      <c r="AV48" s="274">
        <v>6294.0169999999998</v>
      </c>
      <c r="AW48" s="274">
        <v>6269.2439999999997</v>
      </c>
      <c r="AX48" s="274">
        <v>6278.9110000000001</v>
      </c>
      <c r="AY48" s="274">
        <v>6346.44</v>
      </c>
      <c r="AZ48" s="274">
        <v>6480.8879999999999</v>
      </c>
      <c r="BA48" s="274">
        <v>6672.7809999999999</v>
      </c>
      <c r="BB48" s="274">
        <v>6904.2309999999998</v>
      </c>
      <c r="BC48" s="274">
        <v>7148.4059999999999</v>
      </c>
      <c r="BD48" s="274">
        <v>7385.4160000000002</v>
      </c>
      <c r="BE48" s="274">
        <v>7610.0529999999999</v>
      </c>
      <c r="BF48" s="274">
        <v>7827.2030000000004</v>
      </c>
      <c r="BG48" s="274">
        <v>8039.1040000000003</v>
      </c>
      <c r="BH48" s="274">
        <v>8251.0540000000001</v>
      </c>
      <c r="BI48" s="274">
        <v>8466.9380000000001</v>
      </c>
      <c r="BJ48" s="274">
        <v>8686.9390000000003</v>
      </c>
      <c r="BK48" s="274">
        <v>8909.0149999999994</v>
      </c>
      <c r="BL48" s="274">
        <v>9132.5889999999999</v>
      </c>
      <c r="BM48" s="274">
        <v>9356.8269999999993</v>
      </c>
      <c r="BN48" s="274">
        <v>9581.7139999999999</v>
      </c>
      <c r="BO48" s="274">
        <v>9806.67</v>
      </c>
      <c r="BP48" s="274">
        <v>10033.629999999999</v>
      </c>
      <c r="BQ48" s="274">
        <v>10268.156999999999</v>
      </c>
      <c r="BR48" s="274">
        <v>10517.569</v>
      </c>
      <c r="BS48" s="274">
        <v>10787.103999999999</v>
      </c>
    </row>
    <row r="49" spans="1:71" x14ac:dyDescent="0.4">
      <c r="A49" s="270">
        <v>30</v>
      </c>
      <c r="B49" s="271" t="s">
        <v>890</v>
      </c>
      <c r="C49" s="276" t="s">
        <v>751</v>
      </c>
      <c r="D49" s="273"/>
      <c r="E49" s="273">
        <v>728</v>
      </c>
      <c r="F49" s="274">
        <v>2582.9290000000001</v>
      </c>
      <c r="G49" s="274">
        <v>2601.308</v>
      </c>
      <c r="H49" s="274">
        <v>2624.5630000000001</v>
      </c>
      <c r="I49" s="274">
        <v>2652.415</v>
      </c>
      <c r="J49" s="274">
        <v>2684.5970000000002</v>
      </c>
      <c r="K49" s="274">
        <v>2720.8519999999999</v>
      </c>
      <c r="L49" s="274">
        <v>2760.933</v>
      </c>
      <c r="M49" s="274">
        <v>2804.6039999999998</v>
      </c>
      <c r="N49" s="274">
        <v>2851.6439999999998</v>
      </c>
      <c r="O49" s="274">
        <v>2901.8470000000002</v>
      </c>
      <c r="P49" s="274">
        <v>2955.0439999999999</v>
      </c>
      <c r="Q49" s="274">
        <v>3011.1120000000001</v>
      </c>
      <c r="R49" s="274">
        <v>3069.99</v>
      </c>
      <c r="S49" s="274">
        <v>3131.6860000000001</v>
      </c>
      <c r="T49" s="274">
        <v>3196.2579999999998</v>
      </c>
      <c r="U49" s="274">
        <v>3263.7669999999998</v>
      </c>
      <c r="V49" s="274">
        <v>3334.2539999999999</v>
      </c>
      <c r="W49" s="274">
        <v>3407.7539999999999</v>
      </c>
      <c r="X49" s="274">
        <v>3484.335</v>
      </c>
      <c r="Y49" s="274">
        <v>3564.0790000000002</v>
      </c>
      <c r="Z49" s="274">
        <v>3647.0970000000002</v>
      </c>
      <c r="AA49" s="274">
        <v>3733.547</v>
      </c>
      <c r="AB49" s="274">
        <v>3823.605</v>
      </c>
      <c r="AC49" s="274">
        <v>3917.45</v>
      </c>
      <c r="AD49" s="274">
        <v>4015.2710000000002</v>
      </c>
      <c r="AE49" s="274">
        <v>4117.299</v>
      </c>
      <c r="AF49" s="274">
        <v>4222.0559999999996</v>
      </c>
      <c r="AG49" s="274">
        <v>4329.4669999999996</v>
      </c>
      <c r="AH49" s="274">
        <v>4442.665</v>
      </c>
      <c r="AI49" s="274">
        <v>4565.9120000000003</v>
      </c>
      <c r="AJ49" s="274">
        <v>4701.3599999999997</v>
      </c>
      <c r="AK49" s="274">
        <v>4849.7079999999996</v>
      </c>
      <c r="AL49" s="274">
        <v>5007.1450000000004</v>
      </c>
      <c r="AM49" s="274">
        <v>5165.6229999999996</v>
      </c>
      <c r="AN49" s="274">
        <v>5314.3580000000002</v>
      </c>
      <c r="AO49" s="274">
        <v>5444.9070000000002</v>
      </c>
      <c r="AP49" s="274">
        <v>5559.8040000000001</v>
      </c>
      <c r="AQ49" s="274">
        <v>5660.1530000000002</v>
      </c>
      <c r="AR49" s="274">
        <v>5735.17</v>
      </c>
      <c r="AS49" s="274">
        <v>5771.3050000000003</v>
      </c>
      <c r="AT49" s="274">
        <v>5762.19</v>
      </c>
      <c r="AU49" s="274">
        <v>5698.9979999999996</v>
      </c>
      <c r="AV49" s="274">
        <v>5593.3469999999998</v>
      </c>
      <c r="AW49" s="274">
        <v>5484.3720000000003</v>
      </c>
      <c r="AX49" s="274">
        <v>5425.0990000000002</v>
      </c>
      <c r="AY49" s="274">
        <v>5452.7709999999997</v>
      </c>
      <c r="AZ49" s="274">
        <v>5584.223</v>
      </c>
      <c r="BA49" s="274">
        <v>5806.951</v>
      </c>
      <c r="BB49" s="274">
        <v>6092.6880000000001</v>
      </c>
      <c r="BC49" s="274">
        <v>6398.4160000000002</v>
      </c>
      <c r="BD49" s="274">
        <v>6692.9989999999998</v>
      </c>
      <c r="BE49" s="274">
        <v>6967.817</v>
      </c>
      <c r="BF49" s="274">
        <v>7233.2370000000001</v>
      </c>
      <c r="BG49" s="274">
        <v>7499.6949999999997</v>
      </c>
      <c r="BH49" s="274">
        <v>7784.4880000000003</v>
      </c>
      <c r="BI49" s="274">
        <v>8099.9080000000004</v>
      </c>
      <c r="BJ49" s="274">
        <v>8445.6589999999997</v>
      </c>
      <c r="BK49" s="274">
        <v>8815.4950000000008</v>
      </c>
      <c r="BL49" s="274">
        <v>9208.598</v>
      </c>
      <c r="BM49" s="274">
        <v>9623.1759999999995</v>
      </c>
      <c r="BN49" s="274">
        <v>10056.475</v>
      </c>
      <c r="BO49" s="274">
        <v>10510.121999999999</v>
      </c>
      <c r="BP49" s="274">
        <v>10980.623</v>
      </c>
      <c r="BQ49" s="274">
        <v>11453.81</v>
      </c>
      <c r="BR49" s="274">
        <v>11911.183999999999</v>
      </c>
      <c r="BS49" s="274">
        <v>12339.812</v>
      </c>
    </row>
    <row r="50" spans="1:71" x14ac:dyDescent="0.4">
      <c r="A50" s="270">
        <v>31</v>
      </c>
      <c r="B50" s="271" t="s">
        <v>890</v>
      </c>
      <c r="C50" s="276" t="s">
        <v>823</v>
      </c>
      <c r="D50" s="273"/>
      <c r="E50" s="273">
        <v>800</v>
      </c>
      <c r="F50" s="274">
        <v>5158.1930000000002</v>
      </c>
      <c r="G50" s="274">
        <v>5308.6729999999998</v>
      </c>
      <c r="H50" s="274">
        <v>5455.54</v>
      </c>
      <c r="I50" s="274">
        <v>5601.2430000000004</v>
      </c>
      <c r="J50" s="274">
        <v>5748.2079999999996</v>
      </c>
      <c r="K50" s="274">
        <v>5898.8339999999998</v>
      </c>
      <c r="L50" s="274">
        <v>6055.5169999999998</v>
      </c>
      <c r="M50" s="274">
        <v>6220.6279999999997</v>
      </c>
      <c r="N50" s="274">
        <v>6396.4539999999997</v>
      </c>
      <c r="O50" s="274">
        <v>6585.1030000000001</v>
      </c>
      <c r="P50" s="274">
        <v>6788.2110000000002</v>
      </c>
      <c r="Q50" s="274">
        <v>7006.6289999999999</v>
      </c>
      <c r="R50" s="274">
        <v>7240.1549999999997</v>
      </c>
      <c r="S50" s="274">
        <v>7487.4110000000001</v>
      </c>
      <c r="T50" s="274">
        <v>7746.1809999999996</v>
      </c>
      <c r="U50" s="274">
        <v>8014.3760000000002</v>
      </c>
      <c r="V50" s="274">
        <v>8292.7469999999994</v>
      </c>
      <c r="W50" s="274">
        <v>8580.6319999999996</v>
      </c>
      <c r="X50" s="274">
        <v>8872.866</v>
      </c>
      <c r="Y50" s="274">
        <v>9162.7729999999992</v>
      </c>
      <c r="Z50" s="274">
        <v>9446.0239999999994</v>
      </c>
      <c r="AA50" s="274">
        <v>9720.3649999999998</v>
      </c>
      <c r="AB50" s="274">
        <v>9988.3209999999999</v>
      </c>
      <c r="AC50" s="274">
        <v>10256.342000000001</v>
      </c>
      <c r="AD50" s="274">
        <v>10533.627</v>
      </c>
      <c r="AE50" s="274">
        <v>10827.071</v>
      </c>
      <c r="AF50" s="274">
        <v>11139.772000000001</v>
      </c>
      <c r="AG50" s="274">
        <v>11470.741</v>
      </c>
      <c r="AH50" s="274">
        <v>11817.950999999999</v>
      </c>
      <c r="AI50" s="274">
        <v>12177.677</v>
      </c>
      <c r="AJ50" s="274">
        <v>12547.754000000001</v>
      </c>
      <c r="AK50" s="274">
        <v>12927.007</v>
      </c>
      <c r="AL50" s="274">
        <v>13318.148999999999</v>
      </c>
      <c r="AM50" s="274">
        <v>13727.427</v>
      </c>
      <c r="AN50" s="274">
        <v>14163.214</v>
      </c>
      <c r="AO50" s="274">
        <v>14631.089</v>
      </c>
      <c r="AP50" s="274">
        <v>15133.74</v>
      </c>
      <c r="AQ50" s="274">
        <v>15668.278</v>
      </c>
      <c r="AR50" s="274">
        <v>16227.778</v>
      </c>
      <c r="AS50" s="274">
        <v>16802.258000000002</v>
      </c>
      <c r="AT50" s="274">
        <v>17384.368999999999</v>
      </c>
      <c r="AU50" s="274">
        <v>17973.428</v>
      </c>
      <c r="AV50" s="274">
        <v>18571.526999999998</v>
      </c>
      <c r="AW50" s="274">
        <v>19177.66</v>
      </c>
      <c r="AX50" s="274">
        <v>19791.266</v>
      </c>
      <c r="AY50" s="274">
        <v>20412.967000000001</v>
      </c>
      <c r="AZ50" s="274">
        <v>21041.468000000001</v>
      </c>
      <c r="BA50" s="274">
        <v>21679.496999999999</v>
      </c>
      <c r="BB50" s="274">
        <v>22336.812000000002</v>
      </c>
      <c r="BC50" s="274">
        <v>23026.357</v>
      </c>
      <c r="BD50" s="274">
        <v>23757.635999999999</v>
      </c>
      <c r="BE50" s="274">
        <v>24534.668000000001</v>
      </c>
      <c r="BF50" s="274">
        <v>25355.794000000002</v>
      </c>
      <c r="BG50" s="274">
        <v>26217.759999999998</v>
      </c>
      <c r="BH50" s="274">
        <v>27114.741999999998</v>
      </c>
      <c r="BI50" s="274">
        <v>28042.413</v>
      </c>
      <c r="BJ50" s="274">
        <v>29000.924999999999</v>
      </c>
      <c r="BK50" s="274">
        <v>29991.957999999999</v>
      </c>
      <c r="BL50" s="274">
        <v>31014.427</v>
      </c>
      <c r="BM50" s="274">
        <v>32067.125</v>
      </c>
      <c r="BN50" s="274">
        <v>33149.417000000001</v>
      </c>
      <c r="BO50" s="274">
        <v>34260.341999999997</v>
      </c>
      <c r="BP50" s="274">
        <v>35400.620000000003</v>
      </c>
      <c r="BQ50" s="274">
        <v>36573.387000000002</v>
      </c>
      <c r="BR50" s="274">
        <v>37782.970999999998</v>
      </c>
      <c r="BS50" s="274">
        <v>39032.383000000002</v>
      </c>
    </row>
    <row r="51" spans="1:71" x14ac:dyDescent="0.4">
      <c r="A51" s="270">
        <v>32</v>
      </c>
      <c r="B51" s="271" t="s">
        <v>890</v>
      </c>
      <c r="C51" s="276" t="s">
        <v>839</v>
      </c>
      <c r="D51" s="273">
        <v>2</v>
      </c>
      <c r="E51" s="273">
        <v>834</v>
      </c>
      <c r="F51" s="274">
        <v>7649.7659999999996</v>
      </c>
      <c r="G51" s="274">
        <v>7847.3029999999999</v>
      </c>
      <c r="H51" s="274">
        <v>8055.9110000000001</v>
      </c>
      <c r="I51" s="274">
        <v>8274.7469999999994</v>
      </c>
      <c r="J51" s="274">
        <v>8503.2180000000008</v>
      </c>
      <c r="K51" s="274">
        <v>8740.9840000000004</v>
      </c>
      <c r="L51" s="274">
        <v>8987.9660000000003</v>
      </c>
      <c r="M51" s="274">
        <v>9244.34</v>
      </c>
      <c r="N51" s="274">
        <v>9510.5010000000002</v>
      </c>
      <c r="O51" s="274">
        <v>9787.0190000000002</v>
      </c>
      <c r="P51" s="274">
        <v>10074.49</v>
      </c>
      <c r="Q51" s="274">
        <v>10373.379999999999</v>
      </c>
      <c r="R51" s="274">
        <v>10683.888000000001</v>
      </c>
      <c r="S51" s="274">
        <v>11005.882</v>
      </c>
      <c r="T51" s="274">
        <v>11339.075999999999</v>
      </c>
      <c r="U51" s="274">
        <v>11683.511</v>
      </c>
      <c r="V51" s="274">
        <v>12038.886</v>
      </c>
      <c r="W51" s="274">
        <v>12406.04</v>
      </c>
      <c r="X51" s="274">
        <v>12787.494000000001</v>
      </c>
      <c r="Y51" s="274">
        <v>13186.56</v>
      </c>
      <c r="Z51" s="274">
        <v>13605.504000000001</v>
      </c>
      <c r="AA51" s="274">
        <v>14045.757</v>
      </c>
      <c r="AB51" s="274">
        <v>14506.495999999999</v>
      </c>
      <c r="AC51" s="274">
        <v>14984.973</v>
      </c>
      <c r="AD51" s="274">
        <v>15477.155000000001</v>
      </c>
      <c r="AE51" s="274">
        <v>15980.264999999999</v>
      </c>
      <c r="AF51" s="274">
        <v>16493.435000000001</v>
      </c>
      <c r="AG51" s="274">
        <v>17018.012999999999</v>
      </c>
      <c r="AH51" s="274">
        <v>17556.148000000001</v>
      </c>
      <c r="AI51" s="274">
        <v>18110.990000000002</v>
      </c>
      <c r="AJ51" s="274">
        <v>18684.893</v>
      </c>
      <c r="AK51" s="274">
        <v>19279.543000000001</v>
      </c>
      <c r="AL51" s="274">
        <v>19894.677</v>
      </c>
      <c r="AM51" s="274">
        <v>20528.465</v>
      </c>
      <c r="AN51" s="274">
        <v>21178.079000000002</v>
      </c>
      <c r="AO51" s="274">
        <v>21842.087</v>
      </c>
      <c r="AP51" s="274">
        <v>22516.809000000001</v>
      </c>
      <c r="AQ51" s="274">
        <v>23204.186000000002</v>
      </c>
      <c r="AR51" s="274">
        <v>23914.851999999999</v>
      </c>
      <c r="AS51" s="274">
        <v>24663.284</v>
      </c>
      <c r="AT51" s="274">
        <v>25458.207999999999</v>
      </c>
      <c r="AU51" s="274">
        <v>26307.482</v>
      </c>
      <c r="AV51" s="274">
        <v>27203.865000000002</v>
      </c>
      <c r="AW51" s="274">
        <v>28122.798999999999</v>
      </c>
      <c r="AX51" s="274">
        <v>29030.288</v>
      </c>
      <c r="AY51" s="274">
        <v>29903.329000000002</v>
      </c>
      <c r="AZ51" s="274">
        <v>30733.937000000002</v>
      </c>
      <c r="BA51" s="274">
        <v>31533.780999999999</v>
      </c>
      <c r="BB51" s="274">
        <v>32323.953000000001</v>
      </c>
      <c r="BC51" s="274">
        <v>33135.281000000003</v>
      </c>
      <c r="BD51" s="274">
        <v>33991.589999999997</v>
      </c>
      <c r="BE51" s="274">
        <v>34899.061999999998</v>
      </c>
      <c r="BF51" s="274">
        <v>35855.480000000003</v>
      </c>
      <c r="BG51" s="274">
        <v>36866.228000000003</v>
      </c>
      <c r="BH51" s="274">
        <v>37935.334000000003</v>
      </c>
      <c r="BI51" s="274">
        <v>39065.599999999999</v>
      </c>
      <c r="BJ51" s="274">
        <v>40260.847000000002</v>
      </c>
      <c r="BK51" s="274">
        <v>41522.004000000001</v>
      </c>
      <c r="BL51" s="274">
        <v>42844.743999999999</v>
      </c>
      <c r="BM51" s="274">
        <v>44222.112999999998</v>
      </c>
      <c r="BN51" s="274">
        <v>45648.525000000001</v>
      </c>
      <c r="BO51" s="274">
        <v>47122.998</v>
      </c>
      <c r="BP51" s="274">
        <v>48645.709000000003</v>
      </c>
      <c r="BQ51" s="274">
        <v>50213.457000000002</v>
      </c>
      <c r="BR51" s="274">
        <v>51822.620999999999</v>
      </c>
      <c r="BS51" s="274">
        <v>53470.42</v>
      </c>
    </row>
    <row r="52" spans="1:71" x14ac:dyDescent="0.4">
      <c r="A52" s="270">
        <v>33</v>
      </c>
      <c r="B52" s="271" t="s">
        <v>890</v>
      </c>
      <c r="C52" s="276" t="s">
        <v>869</v>
      </c>
      <c r="D52" s="273"/>
      <c r="E52" s="273">
        <v>894</v>
      </c>
      <c r="F52" s="274">
        <v>2316.9499999999998</v>
      </c>
      <c r="G52" s="274">
        <v>2376.0749999999998</v>
      </c>
      <c r="H52" s="274">
        <v>2438.5749999999998</v>
      </c>
      <c r="I52" s="274">
        <v>2504.1469999999999</v>
      </c>
      <c r="J52" s="274">
        <v>2572.6080000000002</v>
      </c>
      <c r="K52" s="274">
        <v>2643.9059999999999</v>
      </c>
      <c r="L52" s="274">
        <v>2718.1179999999999</v>
      </c>
      <c r="M52" s="274">
        <v>2795.451</v>
      </c>
      <c r="N52" s="274">
        <v>2876.2130000000002</v>
      </c>
      <c r="O52" s="274">
        <v>2960.799</v>
      </c>
      <c r="P52" s="274">
        <v>3049.5859999999998</v>
      </c>
      <c r="Q52" s="274">
        <v>3142.848</v>
      </c>
      <c r="R52" s="274">
        <v>3240.6640000000002</v>
      </c>
      <c r="S52" s="274">
        <v>3342.8939999999998</v>
      </c>
      <c r="T52" s="274">
        <v>3449.2660000000001</v>
      </c>
      <c r="U52" s="274">
        <v>3559.6869999999999</v>
      </c>
      <c r="V52" s="274">
        <v>3674.0880000000002</v>
      </c>
      <c r="W52" s="274">
        <v>3792.864</v>
      </c>
      <c r="X52" s="274">
        <v>3916.9279999999999</v>
      </c>
      <c r="Y52" s="274">
        <v>4047.4789999999998</v>
      </c>
      <c r="Z52" s="274">
        <v>4185.3779999999997</v>
      </c>
      <c r="AA52" s="274">
        <v>4331.0020000000004</v>
      </c>
      <c r="AB52" s="274">
        <v>4484.1409999999996</v>
      </c>
      <c r="AC52" s="274">
        <v>4644.3289999999997</v>
      </c>
      <c r="AD52" s="274">
        <v>4810.8100000000004</v>
      </c>
      <c r="AE52" s="274">
        <v>4983.0169999999998</v>
      </c>
      <c r="AF52" s="274">
        <v>5160.57</v>
      </c>
      <c r="AG52" s="274">
        <v>5343.55</v>
      </c>
      <c r="AH52" s="274">
        <v>5532.35</v>
      </c>
      <c r="AI52" s="274">
        <v>5727.5770000000002</v>
      </c>
      <c r="AJ52" s="274">
        <v>5929.4970000000003</v>
      </c>
      <c r="AK52" s="274">
        <v>6138.0690000000004</v>
      </c>
      <c r="AL52" s="274">
        <v>6352.5609999999997</v>
      </c>
      <c r="AM52" s="274">
        <v>6571.6729999999998</v>
      </c>
      <c r="AN52" s="274">
        <v>6793.7079999999996</v>
      </c>
      <c r="AO52" s="274">
        <v>7017.2920000000004</v>
      </c>
      <c r="AP52" s="274">
        <v>7242.4960000000001</v>
      </c>
      <c r="AQ52" s="274">
        <v>7469.27</v>
      </c>
      <c r="AR52" s="274">
        <v>7696.07</v>
      </c>
      <c r="AS52" s="274">
        <v>7921.0280000000002</v>
      </c>
      <c r="AT52" s="274">
        <v>8143.1419999999998</v>
      </c>
      <c r="AU52" s="274">
        <v>8361.3809999999994</v>
      </c>
      <c r="AV52" s="274">
        <v>8576.9869999999992</v>
      </c>
      <c r="AW52" s="274">
        <v>8794.0609999999997</v>
      </c>
      <c r="AX52" s="274">
        <v>9018.2289999999994</v>
      </c>
      <c r="AY52" s="274">
        <v>9253.527</v>
      </c>
      <c r="AZ52" s="274">
        <v>9502.3459999999995</v>
      </c>
      <c r="BA52" s="274">
        <v>9763.7420000000002</v>
      </c>
      <c r="BB52" s="274">
        <v>10034.412</v>
      </c>
      <c r="BC52" s="274">
        <v>10309.31</v>
      </c>
      <c r="BD52" s="274">
        <v>10585.22</v>
      </c>
      <c r="BE52" s="274">
        <v>10861.237999999999</v>
      </c>
      <c r="BF52" s="274">
        <v>11139.977999999999</v>
      </c>
      <c r="BG52" s="274">
        <v>11426.005999999999</v>
      </c>
      <c r="BH52" s="274">
        <v>11725.635</v>
      </c>
      <c r="BI52" s="274">
        <v>12043.591</v>
      </c>
      <c r="BJ52" s="274">
        <v>12381.509</v>
      </c>
      <c r="BK52" s="274">
        <v>12738.675999999999</v>
      </c>
      <c r="BL52" s="274">
        <v>13114.579</v>
      </c>
      <c r="BM52" s="274">
        <v>13507.849</v>
      </c>
      <c r="BN52" s="274">
        <v>13917.439</v>
      </c>
      <c r="BO52" s="274">
        <v>14343.526</v>
      </c>
      <c r="BP52" s="274">
        <v>14786.581</v>
      </c>
      <c r="BQ52" s="274">
        <v>15246.085999999999</v>
      </c>
      <c r="BR52" s="274">
        <v>15721.343000000001</v>
      </c>
      <c r="BS52" s="274">
        <v>16211.767</v>
      </c>
    </row>
    <row r="53" spans="1:71" x14ac:dyDescent="0.4">
      <c r="A53" s="270">
        <v>34</v>
      </c>
      <c r="B53" s="271" t="s">
        <v>890</v>
      </c>
      <c r="C53" s="276" t="s">
        <v>872</v>
      </c>
      <c r="D53" s="273"/>
      <c r="E53" s="273">
        <v>716</v>
      </c>
      <c r="F53" s="274">
        <v>2746.8539999999998</v>
      </c>
      <c r="G53" s="274">
        <v>2830.4490000000001</v>
      </c>
      <c r="H53" s="274">
        <v>2918.424</v>
      </c>
      <c r="I53" s="274">
        <v>3010.1860000000001</v>
      </c>
      <c r="J53" s="274">
        <v>3105.346</v>
      </c>
      <c r="K53" s="274">
        <v>3203.7350000000001</v>
      </c>
      <c r="L53" s="274">
        <v>3305.4029999999998</v>
      </c>
      <c r="M53" s="274">
        <v>3410.6109999999999</v>
      </c>
      <c r="N53" s="274">
        <v>3519.806</v>
      </c>
      <c r="O53" s="274">
        <v>3633.5540000000001</v>
      </c>
      <c r="P53" s="274">
        <v>3752.39</v>
      </c>
      <c r="Q53" s="274">
        <v>3876.6379999999999</v>
      </c>
      <c r="R53" s="274">
        <v>4006.2620000000002</v>
      </c>
      <c r="S53" s="274">
        <v>4140.8040000000001</v>
      </c>
      <c r="T53" s="274">
        <v>4279.5609999999997</v>
      </c>
      <c r="U53" s="274">
        <v>4422.1319999999996</v>
      </c>
      <c r="V53" s="274">
        <v>4568.32</v>
      </c>
      <c r="W53" s="274">
        <v>4718.6120000000001</v>
      </c>
      <c r="X53" s="274">
        <v>4874.1130000000003</v>
      </c>
      <c r="Y53" s="274">
        <v>5036.3209999999999</v>
      </c>
      <c r="Z53" s="274">
        <v>5206.3109999999997</v>
      </c>
      <c r="AA53" s="274">
        <v>5385.3419999999996</v>
      </c>
      <c r="AB53" s="274">
        <v>5573.3119999999999</v>
      </c>
      <c r="AC53" s="274">
        <v>5768.3819999999996</v>
      </c>
      <c r="AD53" s="274">
        <v>5967.8609999999999</v>
      </c>
      <c r="AE53" s="274">
        <v>6170.2839999999997</v>
      </c>
      <c r="AF53" s="274">
        <v>6373.9560000000001</v>
      </c>
      <c r="AG53" s="274">
        <v>6580.7389999999996</v>
      </c>
      <c r="AH53" s="274">
        <v>6796.9459999999999</v>
      </c>
      <c r="AI53" s="274">
        <v>7031.1589999999997</v>
      </c>
      <c r="AJ53" s="274">
        <v>7289.0829999999996</v>
      </c>
      <c r="AK53" s="274">
        <v>7571.9650000000001</v>
      </c>
      <c r="AL53" s="274">
        <v>7876.4139999999998</v>
      </c>
      <c r="AM53" s="274">
        <v>8197.5640000000003</v>
      </c>
      <c r="AN53" s="274">
        <v>8528.3279999999995</v>
      </c>
      <c r="AO53" s="274">
        <v>8862.6010000000006</v>
      </c>
      <c r="AP53" s="274">
        <v>9198.8739999999998</v>
      </c>
      <c r="AQ53" s="274">
        <v>9535.6569999999992</v>
      </c>
      <c r="AR53" s="274">
        <v>9866.7759999999998</v>
      </c>
      <c r="AS53" s="274">
        <v>10184.966</v>
      </c>
      <c r="AT53" s="274">
        <v>10484.771000000001</v>
      </c>
      <c r="AU53" s="274">
        <v>10763.036</v>
      </c>
      <c r="AV53" s="274">
        <v>11019.717000000001</v>
      </c>
      <c r="AW53" s="274">
        <v>11256.512000000001</v>
      </c>
      <c r="AX53" s="274">
        <v>11476.807000000001</v>
      </c>
      <c r="AY53" s="274">
        <v>11683.136</v>
      </c>
      <c r="AZ53" s="274">
        <v>11877.664000000001</v>
      </c>
      <c r="BA53" s="274">
        <v>12059.858</v>
      </c>
      <c r="BB53" s="274">
        <v>12226.742</v>
      </c>
      <c r="BC53" s="274">
        <v>12374.019</v>
      </c>
      <c r="BD53" s="274">
        <v>12499.981</v>
      </c>
      <c r="BE53" s="274">
        <v>12603.987999999999</v>
      </c>
      <c r="BF53" s="274">
        <v>12691.431</v>
      </c>
      <c r="BG53" s="274">
        <v>12774.162</v>
      </c>
      <c r="BH53" s="274">
        <v>12867.828</v>
      </c>
      <c r="BI53" s="274">
        <v>12984.418</v>
      </c>
      <c r="BJ53" s="274">
        <v>13127.941999999999</v>
      </c>
      <c r="BK53" s="274">
        <v>13297.798000000001</v>
      </c>
      <c r="BL53" s="274">
        <v>13495.462</v>
      </c>
      <c r="BM53" s="274">
        <v>13720.996999999999</v>
      </c>
      <c r="BN53" s="274">
        <v>13973.897000000001</v>
      </c>
      <c r="BO53" s="274">
        <v>14255.592000000001</v>
      </c>
      <c r="BP53" s="274">
        <v>14565.482</v>
      </c>
      <c r="BQ53" s="274">
        <v>14898.092000000001</v>
      </c>
      <c r="BR53" s="274">
        <v>15245.855</v>
      </c>
      <c r="BS53" s="274">
        <v>15602.751</v>
      </c>
    </row>
    <row r="54" spans="1:71" x14ac:dyDescent="0.4">
      <c r="A54" s="270">
        <v>35</v>
      </c>
      <c r="B54" s="271" t="s">
        <v>890</v>
      </c>
      <c r="C54" s="277" t="s">
        <v>913</v>
      </c>
      <c r="D54" s="273"/>
      <c r="E54" s="273">
        <v>911</v>
      </c>
      <c r="F54" s="274">
        <v>26400.57</v>
      </c>
      <c r="G54" s="274">
        <v>26885.949000000001</v>
      </c>
      <c r="H54" s="274">
        <v>27387</v>
      </c>
      <c r="I54" s="274">
        <v>27906.856</v>
      </c>
      <c r="J54" s="274">
        <v>28448.074000000001</v>
      </c>
      <c r="K54" s="274">
        <v>29012.635999999999</v>
      </c>
      <c r="L54" s="274">
        <v>29601.911</v>
      </c>
      <c r="M54" s="274">
        <v>30216.697</v>
      </c>
      <c r="N54" s="274">
        <v>30857.289000000001</v>
      </c>
      <c r="O54" s="274">
        <v>31523.628000000001</v>
      </c>
      <c r="P54" s="274">
        <v>32215.694</v>
      </c>
      <c r="Q54" s="274">
        <v>32933.951999999997</v>
      </c>
      <c r="R54" s="274">
        <v>33679.718999999997</v>
      </c>
      <c r="S54" s="274">
        <v>34455.339999999997</v>
      </c>
      <c r="T54" s="274">
        <v>35263.714</v>
      </c>
      <c r="U54" s="274">
        <v>36106.947</v>
      </c>
      <c r="V54" s="274">
        <v>36987.305</v>
      </c>
      <c r="W54" s="274">
        <v>37904.737000000001</v>
      </c>
      <c r="X54" s="274">
        <v>38856.275000000001</v>
      </c>
      <c r="Y54" s="274">
        <v>39837.489000000001</v>
      </c>
      <c r="Z54" s="274">
        <v>40845.824000000001</v>
      </c>
      <c r="AA54" s="274">
        <v>41880.569000000003</v>
      </c>
      <c r="AB54" s="274">
        <v>42944.894</v>
      </c>
      <c r="AC54" s="274">
        <v>44044.906999999999</v>
      </c>
      <c r="AD54" s="274">
        <v>45188.85</v>
      </c>
      <c r="AE54" s="274">
        <v>46383.014000000003</v>
      </c>
      <c r="AF54" s="274">
        <v>47631.014000000003</v>
      </c>
      <c r="AG54" s="274">
        <v>48932.697999999997</v>
      </c>
      <c r="AH54" s="274">
        <v>50286.086000000003</v>
      </c>
      <c r="AI54" s="274">
        <v>51687.438999999998</v>
      </c>
      <c r="AJ54" s="274">
        <v>53134.779000000002</v>
      </c>
      <c r="AK54" s="274">
        <v>54632.328999999998</v>
      </c>
      <c r="AL54" s="274">
        <v>56184.678999999996</v>
      </c>
      <c r="AM54" s="274">
        <v>57791.15</v>
      </c>
      <c r="AN54" s="274">
        <v>59450.264999999999</v>
      </c>
      <c r="AO54" s="274">
        <v>61163.749000000003</v>
      </c>
      <c r="AP54" s="274">
        <v>62920.91</v>
      </c>
      <c r="AQ54" s="274">
        <v>64728.743000000002</v>
      </c>
      <c r="AR54" s="274">
        <v>66626.979000000007</v>
      </c>
      <c r="AS54" s="274">
        <v>68668.663</v>
      </c>
      <c r="AT54" s="274">
        <v>70886.433000000005</v>
      </c>
      <c r="AU54" s="274">
        <v>73308.513999999996</v>
      </c>
      <c r="AV54" s="274">
        <v>75910.792000000001</v>
      </c>
      <c r="AW54" s="274">
        <v>78610.239000000001</v>
      </c>
      <c r="AX54" s="274">
        <v>81291.222999999998</v>
      </c>
      <c r="AY54" s="274">
        <v>83875.087</v>
      </c>
      <c r="AZ54" s="274">
        <v>86328.754000000001</v>
      </c>
      <c r="BA54" s="274">
        <v>88689.650999999998</v>
      </c>
      <c r="BB54" s="274">
        <v>91036.213000000003</v>
      </c>
      <c r="BC54" s="274">
        <v>93482.823000000004</v>
      </c>
      <c r="BD54" s="274">
        <v>96113.260999999999</v>
      </c>
      <c r="BE54" s="274">
        <v>98952.774000000005</v>
      </c>
      <c r="BF54" s="274">
        <v>101979.231</v>
      </c>
      <c r="BG54" s="274">
        <v>105171.79</v>
      </c>
      <c r="BH54" s="274">
        <v>108492.374</v>
      </c>
      <c r="BI54" s="274">
        <v>111912.89200000001</v>
      </c>
      <c r="BJ54" s="274">
        <v>115431.961</v>
      </c>
      <c r="BK54" s="274">
        <v>119060.91899999999</v>
      </c>
      <c r="BL54" s="274">
        <v>122798.42200000001</v>
      </c>
      <c r="BM54" s="274">
        <v>126644.314</v>
      </c>
      <c r="BN54" s="274">
        <v>130598.289</v>
      </c>
      <c r="BO54" s="274">
        <v>134658.44899999999</v>
      </c>
      <c r="BP54" s="274">
        <v>138823.13500000001</v>
      </c>
      <c r="BQ54" s="274">
        <v>143092.848</v>
      </c>
      <c r="BR54" s="274">
        <v>147468.799</v>
      </c>
      <c r="BS54" s="274">
        <v>151951.739</v>
      </c>
    </row>
    <row r="55" spans="1:71" x14ac:dyDescent="0.4">
      <c r="A55" s="270">
        <v>36</v>
      </c>
      <c r="B55" s="271" t="s">
        <v>890</v>
      </c>
      <c r="C55" s="276" t="s">
        <v>199</v>
      </c>
      <c r="D55" s="273"/>
      <c r="E55" s="273">
        <v>24</v>
      </c>
      <c r="F55" s="274">
        <v>4354.8819999999996</v>
      </c>
      <c r="G55" s="274">
        <v>4439.7049999999999</v>
      </c>
      <c r="H55" s="274">
        <v>4529.3810000000003</v>
      </c>
      <c r="I55" s="274">
        <v>4621.6909999999998</v>
      </c>
      <c r="J55" s="274">
        <v>4714.97</v>
      </c>
      <c r="K55" s="274">
        <v>4808.1139999999996</v>
      </c>
      <c r="L55" s="274">
        <v>4900.5940000000001</v>
      </c>
      <c r="M55" s="274">
        <v>4992.4390000000003</v>
      </c>
      <c r="N55" s="274">
        <v>5084.1660000000002</v>
      </c>
      <c r="O55" s="274">
        <v>5176.6620000000003</v>
      </c>
      <c r="P55" s="274">
        <v>5270.8440000000001</v>
      </c>
      <c r="Q55" s="274">
        <v>5367.2870000000003</v>
      </c>
      <c r="R55" s="274">
        <v>5465.9049999999997</v>
      </c>
      <c r="S55" s="274">
        <v>5565.808</v>
      </c>
      <c r="T55" s="274">
        <v>5665.701</v>
      </c>
      <c r="U55" s="274">
        <v>5765.0249999999996</v>
      </c>
      <c r="V55" s="274">
        <v>5863.5680000000002</v>
      </c>
      <c r="W55" s="274">
        <v>5962.8310000000001</v>
      </c>
      <c r="X55" s="274">
        <v>6066.0940000000001</v>
      </c>
      <c r="Y55" s="274">
        <v>6177.7030000000004</v>
      </c>
      <c r="Z55" s="274">
        <v>6300.9690000000001</v>
      </c>
      <c r="AA55" s="274">
        <v>6437.6450000000004</v>
      </c>
      <c r="AB55" s="274">
        <v>6587.6469999999999</v>
      </c>
      <c r="AC55" s="274">
        <v>6750.2150000000001</v>
      </c>
      <c r="AD55" s="274">
        <v>6923.7489999999998</v>
      </c>
      <c r="AE55" s="274">
        <v>7107.3339999999998</v>
      </c>
      <c r="AF55" s="274">
        <v>7299.5079999999998</v>
      </c>
      <c r="AG55" s="274">
        <v>7501.32</v>
      </c>
      <c r="AH55" s="274">
        <v>7717.1390000000001</v>
      </c>
      <c r="AI55" s="274">
        <v>7952.8819999999996</v>
      </c>
      <c r="AJ55" s="274">
        <v>8211.9500000000007</v>
      </c>
      <c r="AK55" s="274">
        <v>8497.9500000000007</v>
      </c>
      <c r="AL55" s="274">
        <v>8807.5110000000004</v>
      </c>
      <c r="AM55" s="274">
        <v>9128.6550000000007</v>
      </c>
      <c r="AN55" s="274">
        <v>9444.9179999999997</v>
      </c>
      <c r="AO55" s="274">
        <v>9745.2090000000007</v>
      </c>
      <c r="AP55" s="274">
        <v>10023.700000000001</v>
      </c>
      <c r="AQ55" s="274">
        <v>10285.712</v>
      </c>
      <c r="AR55" s="274">
        <v>10544.904</v>
      </c>
      <c r="AS55" s="274">
        <v>10820.992</v>
      </c>
      <c r="AT55" s="274">
        <v>11127.87</v>
      </c>
      <c r="AU55" s="274">
        <v>11472.173000000001</v>
      </c>
      <c r="AV55" s="274">
        <v>11848.971</v>
      </c>
      <c r="AW55" s="274">
        <v>12246.786</v>
      </c>
      <c r="AX55" s="274">
        <v>12648.483</v>
      </c>
      <c r="AY55" s="274">
        <v>13042.665999999999</v>
      </c>
      <c r="AZ55" s="274">
        <v>13424.813</v>
      </c>
      <c r="BA55" s="274">
        <v>13801.868</v>
      </c>
      <c r="BB55" s="274">
        <v>14187.71</v>
      </c>
      <c r="BC55" s="274">
        <v>14601.983</v>
      </c>
      <c r="BD55" s="274">
        <v>15058.638000000001</v>
      </c>
      <c r="BE55" s="274">
        <v>15562.790999999999</v>
      </c>
      <c r="BF55" s="274">
        <v>16109.696</v>
      </c>
      <c r="BG55" s="274">
        <v>16691.395</v>
      </c>
      <c r="BH55" s="274">
        <v>17295.5</v>
      </c>
      <c r="BI55" s="274">
        <v>17912.941999999999</v>
      </c>
      <c r="BJ55" s="274">
        <v>18541.467000000001</v>
      </c>
      <c r="BK55" s="274">
        <v>19183.906999999999</v>
      </c>
      <c r="BL55" s="274">
        <v>19842.251</v>
      </c>
      <c r="BM55" s="274">
        <v>20520.102999999999</v>
      </c>
      <c r="BN55" s="274">
        <v>21219.954000000002</v>
      </c>
      <c r="BO55" s="274">
        <v>21942.295999999998</v>
      </c>
      <c r="BP55" s="274">
        <v>22685.632000000001</v>
      </c>
      <c r="BQ55" s="274">
        <v>23448.202000000001</v>
      </c>
      <c r="BR55" s="274">
        <v>24227.524000000001</v>
      </c>
      <c r="BS55" s="274">
        <v>25021.973999999998</v>
      </c>
    </row>
    <row r="56" spans="1:71" x14ac:dyDescent="0.4">
      <c r="A56" s="270">
        <v>37</v>
      </c>
      <c r="B56" s="271" t="s">
        <v>890</v>
      </c>
      <c r="C56" s="276" t="s">
        <v>296</v>
      </c>
      <c r="D56" s="273"/>
      <c r="E56" s="273">
        <v>120</v>
      </c>
      <c r="F56" s="274">
        <v>4466.4979999999996</v>
      </c>
      <c r="G56" s="274">
        <v>4544.2179999999998</v>
      </c>
      <c r="H56" s="274">
        <v>4623.4709999999995</v>
      </c>
      <c r="I56" s="274">
        <v>4704.5559999999996</v>
      </c>
      <c r="J56" s="274">
        <v>4787.8320000000003</v>
      </c>
      <c r="K56" s="274">
        <v>4873.7259999999997</v>
      </c>
      <c r="L56" s="274">
        <v>4962.7259999999997</v>
      </c>
      <c r="M56" s="274">
        <v>5055.3860000000004</v>
      </c>
      <c r="N56" s="274">
        <v>5152.3069999999998</v>
      </c>
      <c r="O56" s="274">
        <v>5254.11</v>
      </c>
      <c r="P56" s="274">
        <v>5361.3670000000002</v>
      </c>
      <c r="Q56" s="274">
        <v>5474.509</v>
      </c>
      <c r="R56" s="274">
        <v>5593.768</v>
      </c>
      <c r="S56" s="274">
        <v>5719.1350000000002</v>
      </c>
      <c r="T56" s="274">
        <v>5850.4539999999997</v>
      </c>
      <c r="U56" s="274">
        <v>5987.6710000000003</v>
      </c>
      <c r="V56" s="274">
        <v>6130.99</v>
      </c>
      <c r="W56" s="274">
        <v>6280.7430000000004</v>
      </c>
      <c r="X56" s="274">
        <v>6437.1570000000002</v>
      </c>
      <c r="Y56" s="274">
        <v>6600.4790000000003</v>
      </c>
      <c r="Z56" s="274">
        <v>6770.9669999999996</v>
      </c>
      <c r="AA56" s="274">
        <v>6948.8469999999998</v>
      </c>
      <c r="AB56" s="274">
        <v>7134.3739999999998</v>
      </c>
      <c r="AC56" s="274">
        <v>7327.8739999999998</v>
      </c>
      <c r="AD56" s="274">
        <v>7529.7039999999997</v>
      </c>
      <c r="AE56" s="274">
        <v>7740.1959999999999</v>
      </c>
      <c r="AF56" s="274">
        <v>7959.5</v>
      </c>
      <c r="AG56" s="274">
        <v>8187.84</v>
      </c>
      <c r="AH56" s="274">
        <v>8425.7070000000003</v>
      </c>
      <c r="AI56" s="274">
        <v>8673.6659999999993</v>
      </c>
      <c r="AJ56" s="274">
        <v>8932.1209999999992</v>
      </c>
      <c r="AK56" s="274">
        <v>9201.1460000000006</v>
      </c>
      <c r="AL56" s="274">
        <v>9480.6380000000008</v>
      </c>
      <c r="AM56" s="274">
        <v>9770.5550000000003</v>
      </c>
      <c r="AN56" s="274">
        <v>10070.779</v>
      </c>
      <c r="AO56" s="274">
        <v>10381.098</v>
      </c>
      <c r="AP56" s="274">
        <v>10701.458000000001</v>
      </c>
      <c r="AQ56" s="274">
        <v>11031.514999999999</v>
      </c>
      <c r="AR56" s="274">
        <v>11370.394</v>
      </c>
      <c r="AS56" s="274">
        <v>11716.975</v>
      </c>
      <c r="AT56" s="274">
        <v>12070.359</v>
      </c>
      <c r="AU56" s="274">
        <v>12430.311</v>
      </c>
      <c r="AV56" s="274">
        <v>12796.739</v>
      </c>
      <c r="AW56" s="274">
        <v>13169.1</v>
      </c>
      <c r="AX56" s="274">
        <v>13546.823</v>
      </c>
      <c r="AY56" s="274">
        <v>13929.575000000001</v>
      </c>
      <c r="AZ56" s="274">
        <v>14317.191000000001</v>
      </c>
      <c r="BA56" s="274">
        <v>14709.960999999999</v>
      </c>
      <c r="BB56" s="274">
        <v>15108.63</v>
      </c>
      <c r="BC56" s="274">
        <v>15514.249</v>
      </c>
      <c r="BD56" s="274">
        <v>15927.713</v>
      </c>
      <c r="BE56" s="274">
        <v>16349.364</v>
      </c>
      <c r="BF56" s="274">
        <v>16779.434000000001</v>
      </c>
      <c r="BG56" s="274">
        <v>17218.591</v>
      </c>
      <c r="BH56" s="274">
        <v>17667.576000000001</v>
      </c>
      <c r="BI56" s="274">
        <v>18126.999</v>
      </c>
      <c r="BJ56" s="274">
        <v>18597.109</v>
      </c>
      <c r="BK56" s="274">
        <v>19078.099999999999</v>
      </c>
      <c r="BL56" s="274">
        <v>19570.418000000001</v>
      </c>
      <c r="BM56" s="274">
        <v>20074.522000000001</v>
      </c>
      <c r="BN56" s="274">
        <v>20590.666000000001</v>
      </c>
      <c r="BO56" s="274">
        <v>21119.064999999999</v>
      </c>
      <c r="BP56" s="274">
        <v>21659.488000000001</v>
      </c>
      <c r="BQ56" s="274">
        <v>22211.166000000001</v>
      </c>
      <c r="BR56" s="274">
        <v>22773.013999999999</v>
      </c>
      <c r="BS56" s="274">
        <v>23344.179</v>
      </c>
    </row>
    <row r="57" spans="1:71" x14ac:dyDescent="0.4">
      <c r="A57" s="270">
        <v>38</v>
      </c>
      <c r="B57" s="271" t="s">
        <v>890</v>
      </c>
      <c r="C57" s="276" t="s">
        <v>304</v>
      </c>
      <c r="D57" s="273"/>
      <c r="E57" s="273">
        <v>140</v>
      </c>
      <c r="F57" s="274">
        <v>1326.653</v>
      </c>
      <c r="G57" s="274">
        <v>1339.8420000000001</v>
      </c>
      <c r="H57" s="274">
        <v>1353.47</v>
      </c>
      <c r="I57" s="274">
        <v>1367.8050000000001</v>
      </c>
      <c r="J57" s="274">
        <v>1383.078</v>
      </c>
      <c r="K57" s="274">
        <v>1399.4929999999999</v>
      </c>
      <c r="L57" s="274">
        <v>1417.2180000000001</v>
      </c>
      <c r="M57" s="274">
        <v>1436.3920000000001</v>
      </c>
      <c r="N57" s="274">
        <v>1457.1179999999999</v>
      </c>
      <c r="O57" s="274">
        <v>1479.472</v>
      </c>
      <c r="P57" s="274">
        <v>1503.501</v>
      </c>
      <c r="Q57" s="274">
        <v>1529.229</v>
      </c>
      <c r="R57" s="274">
        <v>1556.6559999999999</v>
      </c>
      <c r="S57" s="274">
        <v>1585.7650000000001</v>
      </c>
      <c r="T57" s="274">
        <v>1616.5150000000001</v>
      </c>
      <c r="U57" s="274">
        <v>1648.83</v>
      </c>
      <c r="V57" s="274">
        <v>1682.874</v>
      </c>
      <c r="W57" s="274">
        <v>1718.558</v>
      </c>
      <c r="X57" s="274">
        <v>1755.26</v>
      </c>
      <c r="Y57" s="274">
        <v>1792.15</v>
      </c>
      <c r="Z57" s="274">
        <v>1828.71</v>
      </c>
      <c r="AA57" s="274">
        <v>1864.7570000000001</v>
      </c>
      <c r="AB57" s="274">
        <v>1900.702</v>
      </c>
      <c r="AC57" s="274">
        <v>1937.383</v>
      </c>
      <c r="AD57" s="274">
        <v>1975.9680000000001</v>
      </c>
      <c r="AE57" s="274">
        <v>2017.3789999999999</v>
      </c>
      <c r="AF57" s="274">
        <v>2061.5520000000001</v>
      </c>
      <c r="AG57" s="274">
        <v>2108.4169999999999</v>
      </c>
      <c r="AH57" s="274">
        <v>2158.8440000000001</v>
      </c>
      <c r="AI57" s="274">
        <v>2213.8879999999999</v>
      </c>
      <c r="AJ57" s="274">
        <v>2274.0949999999998</v>
      </c>
      <c r="AK57" s="274">
        <v>2340.259</v>
      </c>
      <c r="AL57" s="274">
        <v>2411.6930000000002</v>
      </c>
      <c r="AM57" s="274">
        <v>2485.6660000000002</v>
      </c>
      <c r="AN57" s="274">
        <v>2558.4319999999998</v>
      </c>
      <c r="AO57" s="274">
        <v>2627.424</v>
      </c>
      <c r="AP57" s="274">
        <v>2691.3119999999999</v>
      </c>
      <c r="AQ57" s="274">
        <v>2751.163</v>
      </c>
      <c r="AR57" s="274">
        <v>2809.72</v>
      </c>
      <c r="AS57" s="274">
        <v>2871.0050000000001</v>
      </c>
      <c r="AT57" s="274">
        <v>2937.8319999999999</v>
      </c>
      <c r="AU57" s="274">
        <v>3010.95</v>
      </c>
      <c r="AV57" s="274">
        <v>3089.1410000000001</v>
      </c>
      <c r="AW57" s="274">
        <v>3170.848</v>
      </c>
      <c r="AX57" s="274">
        <v>3253.6979999999999</v>
      </c>
      <c r="AY57" s="274">
        <v>3335.84</v>
      </c>
      <c r="AZ57" s="274">
        <v>3417.163</v>
      </c>
      <c r="BA57" s="274">
        <v>3497.91</v>
      </c>
      <c r="BB57" s="274">
        <v>3577.0279999999998</v>
      </c>
      <c r="BC57" s="274">
        <v>3653.31</v>
      </c>
      <c r="BD57" s="274">
        <v>3726.0479999999998</v>
      </c>
      <c r="BE57" s="274">
        <v>3794.6770000000001</v>
      </c>
      <c r="BF57" s="274">
        <v>3859.7840000000001</v>
      </c>
      <c r="BG57" s="274">
        <v>3923.2939999999999</v>
      </c>
      <c r="BH57" s="274">
        <v>3987.8960000000002</v>
      </c>
      <c r="BI57" s="274">
        <v>4055.6080000000002</v>
      </c>
      <c r="BJ57" s="274">
        <v>4127.1120000000001</v>
      </c>
      <c r="BK57" s="274">
        <v>4202.1040000000003</v>
      </c>
      <c r="BL57" s="274">
        <v>4280.4049999999997</v>
      </c>
      <c r="BM57" s="274">
        <v>4361.4920000000002</v>
      </c>
      <c r="BN57" s="274">
        <v>4444.973</v>
      </c>
      <c r="BO57" s="274">
        <v>4530.9030000000002</v>
      </c>
      <c r="BP57" s="274">
        <v>4619.5</v>
      </c>
      <c r="BQ57" s="274">
        <v>4710.6779999999999</v>
      </c>
      <c r="BR57" s="274">
        <v>4804.3159999999998</v>
      </c>
      <c r="BS57" s="274">
        <v>4900.2740000000003</v>
      </c>
    </row>
    <row r="58" spans="1:71" x14ac:dyDescent="0.4">
      <c r="A58" s="270">
        <v>39</v>
      </c>
      <c r="B58" s="271" t="s">
        <v>890</v>
      </c>
      <c r="C58" s="276" t="s">
        <v>306</v>
      </c>
      <c r="D58" s="273"/>
      <c r="E58" s="273">
        <v>148</v>
      </c>
      <c r="F58" s="274">
        <v>2502.3139999999999</v>
      </c>
      <c r="G58" s="274">
        <v>2544.1019999999999</v>
      </c>
      <c r="H58" s="274">
        <v>2589.2779999999998</v>
      </c>
      <c r="I58" s="274">
        <v>2636.7849999999999</v>
      </c>
      <c r="J58" s="274">
        <v>2685.8420000000001</v>
      </c>
      <c r="K58" s="274">
        <v>2735.9360000000001</v>
      </c>
      <c r="L58" s="274">
        <v>2786.8440000000001</v>
      </c>
      <c r="M58" s="274">
        <v>2838.6120000000001</v>
      </c>
      <c r="N58" s="274">
        <v>2891.5259999999998</v>
      </c>
      <c r="O58" s="274">
        <v>2946.04</v>
      </c>
      <c r="P58" s="274">
        <v>3002.596</v>
      </c>
      <c r="Q58" s="274">
        <v>3061.4229999999998</v>
      </c>
      <c r="R58" s="274">
        <v>3122.357</v>
      </c>
      <c r="S58" s="274">
        <v>3184.7750000000001</v>
      </c>
      <c r="T58" s="274">
        <v>3247.7979999999998</v>
      </c>
      <c r="U58" s="274">
        <v>3310.9209999999998</v>
      </c>
      <c r="V58" s="274">
        <v>3373.5630000000001</v>
      </c>
      <c r="W58" s="274">
        <v>3436.2269999999999</v>
      </c>
      <c r="X58" s="274">
        <v>3500.7779999999998</v>
      </c>
      <c r="Y58" s="274">
        <v>3569.7779999999998</v>
      </c>
      <c r="Z58" s="274">
        <v>3644.9110000000001</v>
      </c>
      <c r="AA58" s="274">
        <v>3727.3820000000001</v>
      </c>
      <c r="AB58" s="274">
        <v>3816.299</v>
      </c>
      <c r="AC58" s="274">
        <v>3908.7289999999998</v>
      </c>
      <c r="AD58" s="274">
        <v>4000.511</v>
      </c>
      <c r="AE58" s="274">
        <v>4088.8580000000002</v>
      </c>
      <c r="AF58" s="274">
        <v>4173.07</v>
      </c>
      <c r="AG58" s="274">
        <v>4254.7700000000004</v>
      </c>
      <c r="AH58" s="274">
        <v>4336.3890000000001</v>
      </c>
      <c r="AI58" s="274">
        <v>4421.4480000000003</v>
      </c>
      <c r="AJ58" s="274">
        <v>4512.7950000000001</v>
      </c>
      <c r="AK58" s="274">
        <v>4610.9639999999999</v>
      </c>
      <c r="AL58" s="274">
        <v>4716.0730000000003</v>
      </c>
      <c r="AM58" s="274">
        <v>4830.0550000000003</v>
      </c>
      <c r="AN58" s="274">
        <v>4955.0879999999997</v>
      </c>
      <c r="AO58" s="274">
        <v>5092.6499999999996</v>
      </c>
      <c r="AP58" s="274">
        <v>5244.1580000000004</v>
      </c>
      <c r="AQ58" s="274">
        <v>5409.2749999999996</v>
      </c>
      <c r="AR58" s="274">
        <v>5585.5280000000002</v>
      </c>
      <c r="AS58" s="274">
        <v>5769.2730000000001</v>
      </c>
      <c r="AT58" s="274">
        <v>5958.0219999999999</v>
      </c>
      <c r="AU58" s="274">
        <v>6151.2129999999997</v>
      </c>
      <c r="AV58" s="274">
        <v>6350.174</v>
      </c>
      <c r="AW58" s="274">
        <v>6556.6279999999997</v>
      </c>
      <c r="AX58" s="274">
        <v>6773.1040000000003</v>
      </c>
      <c r="AY58" s="274">
        <v>7001.634</v>
      </c>
      <c r="AZ58" s="274">
        <v>7242.018</v>
      </c>
      <c r="BA58" s="274">
        <v>7494.143</v>
      </c>
      <c r="BB58" s="274">
        <v>7760.1570000000002</v>
      </c>
      <c r="BC58" s="274">
        <v>8042.7129999999997</v>
      </c>
      <c r="BD58" s="274">
        <v>8343.3209999999999</v>
      </c>
      <c r="BE58" s="274">
        <v>8663.5990000000002</v>
      </c>
      <c r="BF58" s="274">
        <v>9002.1020000000008</v>
      </c>
      <c r="BG58" s="274">
        <v>9353.5159999999996</v>
      </c>
      <c r="BH58" s="274">
        <v>9710.4979999999996</v>
      </c>
      <c r="BI58" s="274">
        <v>10067.932000000001</v>
      </c>
      <c r="BJ58" s="274">
        <v>10423.616</v>
      </c>
      <c r="BK58" s="274">
        <v>10779.504000000001</v>
      </c>
      <c r="BL58" s="274">
        <v>11139.74</v>
      </c>
      <c r="BM58" s="274">
        <v>11510.535</v>
      </c>
      <c r="BN58" s="274">
        <v>11896.38</v>
      </c>
      <c r="BO58" s="274">
        <v>12298.512000000001</v>
      </c>
      <c r="BP58" s="274">
        <v>12715.465</v>
      </c>
      <c r="BQ58" s="274">
        <v>13145.788</v>
      </c>
      <c r="BR58" s="274">
        <v>13587.053</v>
      </c>
      <c r="BS58" s="274">
        <v>14037.472</v>
      </c>
    </row>
    <row r="59" spans="1:71" x14ac:dyDescent="0.4">
      <c r="A59" s="270">
        <v>40</v>
      </c>
      <c r="B59" s="271" t="s">
        <v>890</v>
      </c>
      <c r="C59" s="276" t="s">
        <v>324</v>
      </c>
      <c r="D59" s="273"/>
      <c r="E59" s="273">
        <v>178</v>
      </c>
      <c r="F59" s="274">
        <v>807.726</v>
      </c>
      <c r="G59" s="274">
        <v>824.12900000000002</v>
      </c>
      <c r="H59" s="274">
        <v>841.47299999999996</v>
      </c>
      <c r="I59" s="274">
        <v>859.71400000000006</v>
      </c>
      <c r="J59" s="274">
        <v>878.83399999999995</v>
      </c>
      <c r="K59" s="274">
        <v>898.83199999999999</v>
      </c>
      <c r="L59" s="274">
        <v>919.73500000000001</v>
      </c>
      <c r="M59" s="274">
        <v>941.59</v>
      </c>
      <c r="N59" s="274">
        <v>964.46100000000001</v>
      </c>
      <c r="O59" s="274">
        <v>988.43299999999999</v>
      </c>
      <c r="P59" s="274">
        <v>1013.581</v>
      </c>
      <c r="Q59" s="274">
        <v>1039.9659999999999</v>
      </c>
      <c r="R59" s="274">
        <v>1067.6110000000001</v>
      </c>
      <c r="S59" s="274">
        <v>1096.502</v>
      </c>
      <c r="T59" s="274">
        <v>1126.6020000000001</v>
      </c>
      <c r="U59" s="274">
        <v>1157.905</v>
      </c>
      <c r="V59" s="274">
        <v>1190.3610000000001</v>
      </c>
      <c r="W59" s="274">
        <v>1224.0409999999999</v>
      </c>
      <c r="X59" s="274">
        <v>1259.19</v>
      </c>
      <c r="Y59" s="274">
        <v>1296.1369999999999</v>
      </c>
      <c r="Z59" s="274">
        <v>1335.09</v>
      </c>
      <c r="AA59" s="274">
        <v>1376.1890000000001</v>
      </c>
      <c r="AB59" s="274">
        <v>1419.3050000000001</v>
      </c>
      <c r="AC59" s="274">
        <v>1464.0519999999999</v>
      </c>
      <c r="AD59" s="274">
        <v>1509.88</v>
      </c>
      <c r="AE59" s="274">
        <v>1556.4059999999999</v>
      </c>
      <c r="AF59" s="274">
        <v>1603.4459999999999</v>
      </c>
      <c r="AG59" s="274">
        <v>1651.134</v>
      </c>
      <c r="AH59" s="274">
        <v>1699.7809999999999</v>
      </c>
      <c r="AI59" s="274">
        <v>1749.8589999999999</v>
      </c>
      <c r="AJ59" s="274">
        <v>1801.6880000000001</v>
      </c>
      <c r="AK59" s="274">
        <v>1855.3910000000001</v>
      </c>
      <c r="AL59" s="274">
        <v>1910.8</v>
      </c>
      <c r="AM59" s="274">
        <v>1967.596</v>
      </c>
      <c r="AN59" s="274">
        <v>2025.32</v>
      </c>
      <c r="AO59" s="274">
        <v>2083.6480000000001</v>
      </c>
      <c r="AP59" s="274">
        <v>2142.529</v>
      </c>
      <c r="AQ59" s="274">
        <v>2202.1060000000002</v>
      </c>
      <c r="AR59" s="274">
        <v>2262.4960000000001</v>
      </c>
      <c r="AS59" s="274">
        <v>2323.89</v>
      </c>
      <c r="AT59" s="274">
        <v>2386.4670000000001</v>
      </c>
      <c r="AU59" s="274">
        <v>2450.125</v>
      </c>
      <c r="AV59" s="274">
        <v>2514.9070000000002</v>
      </c>
      <c r="AW59" s="274">
        <v>2581.306</v>
      </c>
      <c r="AX59" s="274">
        <v>2649.9639999999999</v>
      </c>
      <c r="AY59" s="274">
        <v>2721.277</v>
      </c>
      <c r="AZ59" s="274">
        <v>2795.9029999999998</v>
      </c>
      <c r="BA59" s="274">
        <v>2873.6379999999999</v>
      </c>
      <c r="BB59" s="274">
        <v>2953.011</v>
      </c>
      <c r="BC59" s="274">
        <v>3031.9690000000001</v>
      </c>
      <c r="BD59" s="274">
        <v>3109.2689999999998</v>
      </c>
      <c r="BE59" s="274">
        <v>3183.8829999999998</v>
      </c>
      <c r="BF59" s="274">
        <v>3256.8670000000002</v>
      </c>
      <c r="BG59" s="274">
        <v>3331.5639999999999</v>
      </c>
      <c r="BH59" s="274">
        <v>3412.5920000000001</v>
      </c>
      <c r="BI59" s="274">
        <v>3503.0859999999998</v>
      </c>
      <c r="BJ59" s="274">
        <v>3604.5949999999998</v>
      </c>
      <c r="BK59" s="274">
        <v>3715.665</v>
      </c>
      <c r="BL59" s="274">
        <v>3832.7710000000002</v>
      </c>
      <c r="BM59" s="274">
        <v>3950.7860000000001</v>
      </c>
      <c r="BN59" s="274">
        <v>4066.078</v>
      </c>
      <c r="BO59" s="274">
        <v>4177.4350000000004</v>
      </c>
      <c r="BP59" s="274">
        <v>4286.1880000000001</v>
      </c>
      <c r="BQ59" s="274">
        <v>4394.3339999999998</v>
      </c>
      <c r="BR59" s="274">
        <v>4504.9620000000004</v>
      </c>
      <c r="BS59" s="274">
        <v>4620.33</v>
      </c>
    </row>
    <row r="60" spans="1:71" x14ac:dyDescent="0.4">
      <c r="A60" s="270">
        <v>41</v>
      </c>
      <c r="B60" s="271" t="s">
        <v>890</v>
      </c>
      <c r="C60" s="276" t="s">
        <v>355</v>
      </c>
      <c r="D60" s="273"/>
      <c r="E60" s="273">
        <v>180</v>
      </c>
      <c r="F60" s="274">
        <v>12183.661</v>
      </c>
      <c r="G60" s="274">
        <v>12428.829</v>
      </c>
      <c r="H60" s="274">
        <v>12680.933999999999</v>
      </c>
      <c r="I60" s="274">
        <v>12944.393</v>
      </c>
      <c r="J60" s="274">
        <v>13222.519</v>
      </c>
      <c r="K60" s="274">
        <v>13517.519</v>
      </c>
      <c r="L60" s="274">
        <v>13830.444</v>
      </c>
      <c r="M60" s="274">
        <v>14161.242</v>
      </c>
      <c r="N60" s="274">
        <v>14508.911</v>
      </c>
      <c r="O60" s="274">
        <v>14871.771000000001</v>
      </c>
      <c r="P60" s="274">
        <v>15248.245999999999</v>
      </c>
      <c r="Q60" s="274">
        <v>15637.715</v>
      </c>
      <c r="R60" s="274">
        <v>16041.246999999999</v>
      </c>
      <c r="S60" s="274">
        <v>16461.914000000001</v>
      </c>
      <c r="T60" s="274">
        <v>16903.899000000001</v>
      </c>
      <c r="U60" s="274">
        <v>17369.859</v>
      </c>
      <c r="V60" s="274">
        <v>17861.86</v>
      </c>
      <c r="W60" s="274">
        <v>18378.188999999998</v>
      </c>
      <c r="X60" s="274">
        <v>18913.177</v>
      </c>
      <c r="Y60" s="274">
        <v>19458.874</v>
      </c>
      <c r="Z60" s="274">
        <v>20009.901999999998</v>
      </c>
      <c r="AA60" s="274">
        <v>20563.111000000001</v>
      </c>
      <c r="AB60" s="274">
        <v>21120.995999999999</v>
      </c>
      <c r="AC60" s="274">
        <v>21690.603999999999</v>
      </c>
      <c r="AD60" s="274">
        <v>22282.079000000002</v>
      </c>
      <c r="AE60" s="274">
        <v>22902.275000000001</v>
      </c>
      <c r="AF60" s="274">
        <v>23556.784</v>
      </c>
      <c r="AG60" s="274">
        <v>24242.643</v>
      </c>
      <c r="AH60" s="274">
        <v>24948.113000000001</v>
      </c>
      <c r="AI60" s="274">
        <v>25656.486000000001</v>
      </c>
      <c r="AJ60" s="274">
        <v>26357.406999999999</v>
      </c>
      <c r="AK60" s="274">
        <v>27049.145</v>
      </c>
      <c r="AL60" s="274">
        <v>27741.103999999999</v>
      </c>
      <c r="AM60" s="274">
        <v>28448.121999999999</v>
      </c>
      <c r="AN60" s="274">
        <v>29190.679</v>
      </c>
      <c r="AO60" s="274">
        <v>29985.665000000001</v>
      </c>
      <c r="AP60" s="274">
        <v>30829.102999999999</v>
      </c>
      <c r="AQ60" s="274">
        <v>31721.541000000001</v>
      </c>
      <c r="AR60" s="274">
        <v>32688.707999999999</v>
      </c>
      <c r="AS60" s="274">
        <v>33763.055999999997</v>
      </c>
      <c r="AT60" s="274">
        <v>34962.675999999999</v>
      </c>
      <c r="AU60" s="274">
        <v>36309.209000000003</v>
      </c>
      <c r="AV60" s="274">
        <v>37783.834999999999</v>
      </c>
      <c r="AW60" s="274">
        <v>39314.955000000002</v>
      </c>
      <c r="AX60" s="274">
        <v>40804.010999999999</v>
      </c>
      <c r="AY60" s="274">
        <v>42183.62</v>
      </c>
      <c r="AZ60" s="274">
        <v>43424.997000000003</v>
      </c>
      <c r="BA60" s="274">
        <v>44558.347000000002</v>
      </c>
      <c r="BB60" s="274">
        <v>45647.949000000001</v>
      </c>
      <c r="BC60" s="274">
        <v>46788.237999999998</v>
      </c>
      <c r="BD60" s="274">
        <v>48048.663999999997</v>
      </c>
      <c r="BE60" s="274">
        <v>49449.014999999999</v>
      </c>
      <c r="BF60" s="274">
        <v>50971.406999999999</v>
      </c>
      <c r="BG60" s="274">
        <v>52602.207999999999</v>
      </c>
      <c r="BH60" s="274">
        <v>54314.855000000003</v>
      </c>
      <c r="BI60" s="274">
        <v>56089.536</v>
      </c>
      <c r="BJ60" s="274">
        <v>57926.84</v>
      </c>
      <c r="BK60" s="274">
        <v>59834.875</v>
      </c>
      <c r="BL60" s="274">
        <v>61809.277999999998</v>
      </c>
      <c r="BM60" s="274">
        <v>63845.097000000002</v>
      </c>
      <c r="BN60" s="274">
        <v>65938.712</v>
      </c>
      <c r="BO60" s="274">
        <v>68087.376000000004</v>
      </c>
      <c r="BP60" s="274">
        <v>70291.16</v>
      </c>
      <c r="BQ60" s="274">
        <v>72552.861000000004</v>
      </c>
      <c r="BR60" s="274">
        <v>74877.03</v>
      </c>
      <c r="BS60" s="274">
        <v>77266.813999999998</v>
      </c>
    </row>
    <row r="61" spans="1:71" x14ac:dyDescent="0.4">
      <c r="A61" s="270">
        <v>42</v>
      </c>
      <c r="B61" s="271" t="s">
        <v>890</v>
      </c>
      <c r="C61" s="276" t="s">
        <v>383</v>
      </c>
      <c r="D61" s="273"/>
      <c r="E61" s="273">
        <v>226</v>
      </c>
      <c r="F61" s="274">
        <v>225.536</v>
      </c>
      <c r="G61" s="274">
        <v>230.05699999999999</v>
      </c>
      <c r="H61" s="274">
        <v>232.75700000000001</v>
      </c>
      <c r="I61" s="274">
        <v>234.512</v>
      </c>
      <c r="J61" s="274">
        <v>235.99299999999999</v>
      </c>
      <c r="K61" s="274">
        <v>237.67599999999999</v>
      </c>
      <c r="L61" s="274">
        <v>239.82599999999999</v>
      </c>
      <c r="M61" s="274">
        <v>242.50899999999999</v>
      </c>
      <c r="N61" s="274">
        <v>245.61699999999999</v>
      </c>
      <c r="O61" s="274">
        <v>248.905</v>
      </c>
      <c r="P61" s="274">
        <v>252.11500000000001</v>
      </c>
      <c r="Q61" s="274">
        <v>255.1</v>
      </c>
      <c r="R61" s="274">
        <v>257.94</v>
      </c>
      <c r="S61" s="274">
        <v>260.99</v>
      </c>
      <c r="T61" s="274">
        <v>264.74299999999999</v>
      </c>
      <c r="U61" s="274">
        <v>269.42700000000002</v>
      </c>
      <c r="V61" s="274">
        <v>275.47000000000003</v>
      </c>
      <c r="W61" s="274">
        <v>282.44499999999999</v>
      </c>
      <c r="X61" s="274">
        <v>288.70100000000002</v>
      </c>
      <c r="Y61" s="274">
        <v>292.01400000000001</v>
      </c>
      <c r="Z61" s="274">
        <v>290.90499999999997</v>
      </c>
      <c r="AA61" s="274">
        <v>284.91500000000002</v>
      </c>
      <c r="AB61" s="274">
        <v>274.90600000000001</v>
      </c>
      <c r="AC61" s="274">
        <v>262.399</v>
      </c>
      <c r="AD61" s="274">
        <v>249.58699999999999</v>
      </c>
      <c r="AE61" s="274">
        <v>238.24</v>
      </c>
      <c r="AF61" s="274">
        <v>228.49100000000001</v>
      </c>
      <c r="AG61" s="274">
        <v>220.352</v>
      </c>
      <c r="AH61" s="274">
        <v>215.28399999999999</v>
      </c>
      <c r="AI61" s="274">
        <v>215.01400000000001</v>
      </c>
      <c r="AJ61" s="274">
        <v>220.60499999999999</v>
      </c>
      <c r="AK61" s="274">
        <v>232.934</v>
      </c>
      <c r="AL61" s="274">
        <v>251.30099999999999</v>
      </c>
      <c r="AM61" s="274">
        <v>273.19900000000001</v>
      </c>
      <c r="AN61" s="274">
        <v>295.08999999999997</v>
      </c>
      <c r="AO61" s="274">
        <v>314.40699999999998</v>
      </c>
      <c r="AP61" s="274">
        <v>330.24700000000001</v>
      </c>
      <c r="AQ61" s="274">
        <v>343.29</v>
      </c>
      <c r="AR61" s="274">
        <v>354.488</v>
      </c>
      <c r="AS61" s="274">
        <v>365.45100000000002</v>
      </c>
      <c r="AT61" s="274">
        <v>377.363</v>
      </c>
      <c r="AU61" s="274">
        <v>390.38099999999997</v>
      </c>
      <c r="AV61" s="274">
        <v>404.08100000000002</v>
      </c>
      <c r="AW61" s="274">
        <v>418.40899999999999</v>
      </c>
      <c r="AX61" s="274">
        <v>433.197</v>
      </c>
      <c r="AY61" s="274">
        <v>448.33199999999999</v>
      </c>
      <c r="AZ61" s="274">
        <v>463.84399999999999</v>
      </c>
      <c r="BA61" s="274">
        <v>479.83600000000001</v>
      </c>
      <c r="BB61" s="274">
        <v>496.33</v>
      </c>
      <c r="BC61" s="274">
        <v>513.34699999999998</v>
      </c>
      <c r="BD61" s="274">
        <v>530.89599999999996</v>
      </c>
      <c r="BE61" s="274">
        <v>549.00699999999995</v>
      </c>
      <c r="BF61" s="274">
        <v>567.66399999999999</v>
      </c>
      <c r="BG61" s="274">
        <v>586.77200000000005</v>
      </c>
      <c r="BH61" s="274">
        <v>606.20100000000002</v>
      </c>
      <c r="BI61" s="274">
        <v>625.86599999999999</v>
      </c>
      <c r="BJ61" s="274">
        <v>645.71799999999996</v>
      </c>
      <c r="BK61" s="274">
        <v>665.798</v>
      </c>
      <c r="BL61" s="274">
        <v>686.22299999999996</v>
      </c>
      <c r="BM61" s="274">
        <v>707.15499999999997</v>
      </c>
      <c r="BN61" s="274">
        <v>728.71</v>
      </c>
      <c r="BO61" s="274">
        <v>750.91800000000001</v>
      </c>
      <c r="BP61" s="274">
        <v>773.72900000000004</v>
      </c>
      <c r="BQ61" s="274">
        <v>797.08199999999999</v>
      </c>
      <c r="BR61" s="274">
        <v>820.88499999999999</v>
      </c>
      <c r="BS61" s="274">
        <v>845.06</v>
      </c>
    </row>
    <row r="62" spans="1:71" x14ac:dyDescent="0.4">
      <c r="A62" s="270">
        <v>43</v>
      </c>
      <c r="B62" s="271" t="s">
        <v>890</v>
      </c>
      <c r="C62" s="276" t="s">
        <v>408</v>
      </c>
      <c r="D62" s="273"/>
      <c r="E62" s="273">
        <v>266</v>
      </c>
      <c r="F62" s="274">
        <v>473.3</v>
      </c>
      <c r="G62" s="274">
        <v>475.86399999999998</v>
      </c>
      <c r="H62" s="274">
        <v>477.71100000000001</v>
      </c>
      <c r="I62" s="274">
        <v>479.23700000000002</v>
      </c>
      <c r="J62" s="274">
        <v>480.76799999999997</v>
      </c>
      <c r="K62" s="274">
        <v>482.55799999999999</v>
      </c>
      <c r="L62" s="274">
        <v>484.78</v>
      </c>
      <c r="M62" s="274">
        <v>487.53699999999998</v>
      </c>
      <c r="N62" s="274">
        <v>490.86700000000002</v>
      </c>
      <c r="O62" s="274">
        <v>494.75900000000001</v>
      </c>
      <c r="P62" s="274">
        <v>499.18900000000002</v>
      </c>
      <c r="Q62" s="274">
        <v>504.17399999999998</v>
      </c>
      <c r="R62" s="274">
        <v>509.80599999999998</v>
      </c>
      <c r="S62" s="274">
        <v>516.27</v>
      </c>
      <c r="T62" s="274">
        <v>523.79300000000001</v>
      </c>
      <c r="U62" s="274">
        <v>532.51199999999994</v>
      </c>
      <c r="V62" s="274">
        <v>542.56200000000001</v>
      </c>
      <c r="W62" s="274">
        <v>553.82899999999995</v>
      </c>
      <c r="X62" s="274">
        <v>565.87800000000004</v>
      </c>
      <c r="Y62" s="274">
        <v>578.11400000000003</v>
      </c>
      <c r="Z62" s="274">
        <v>590.11900000000003</v>
      </c>
      <c r="AA62" s="274">
        <v>601.73400000000004</v>
      </c>
      <c r="AB62" s="274">
        <v>613.12900000000002</v>
      </c>
      <c r="AC62" s="274">
        <v>624.625</v>
      </c>
      <c r="AD62" s="274">
        <v>636.702</v>
      </c>
      <c r="AE62" s="274">
        <v>649.71900000000005</v>
      </c>
      <c r="AF62" s="274">
        <v>663.774</v>
      </c>
      <c r="AG62" s="274">
        <v>678.78599999999994</v>
      </c>
      <c r="AH62" s="274">
        <v>694.73400000000004</v>
      </c>
      <c r="AI62" s="274">
        <v>711.54399999999998</v>
      </c>
      <c r="AJ62" s="274">
        <v>729.16499999999996</v>
      </c>
      <c r="AK62" s="274">
        <v>747.59299999999996</v>
      </c>
      <c r="AL62" s="274">
        <v>766.86699999999996</v>
      </c>
      <c r="AM62" s="274">
        <v>787.01700000000005</v>
      </c>
      <c r="AN62" s="274">
        <v>808.08799999999997</v>
      </c>
      <c r="AO62" s="274">
        <v>830.09100000000001</v>
      </c>
      <c r="AP62" s="274">
        <v>853.03899999999999</v>
      </c>
      <c r="AQ62" s="274">
        <v>876.87699999999995</v>
      </c>
      <c r="AR62" s="274">
        <v>901.47299999999996</v>
      </c>
      <c r="AS62" s="274">
        <v>926.64800000000002</v>
      </c>
      <c r="AT62" s="274">
        <v>952.26900000000001</v>
      </c>
      <c r="AU62" s="274">
        <v>978.25199999999995</v>
      </c>
      <c r="AV62" s="274">
        <v>1004.598</v>
      </c>
      <c r="AW62" s="274">
        <v>1031.3579999999999</v>
      </c>
      <c r="AX62" s="274">
        <v>1058.625</v>
      </c>
      <c r="AY62" s="274">
        <v>1086.4490000000001</v>
      </c>
      <c r="AZ62" s="274">
        <v>1114.8789999999999</v>
      </c>
      <c r="BA62" s="274">
        <v>1143.838</v>
      </c>
      <c r="BB62" s="274">
        <v>1173.114</v>
      </c>
      <c r="BC62" s="274">
        <v>1202.412</v>
      </c>
      <c r="BD62" s="274">
        <v>1231.548</v>
      </c>
      <c r="BE62" s="274">
        <v>1260.4349999999999</v>
      </c>
      <c r="BF62" s="274">
        <v>1289.192</v>
      </c>
      <c r="BG62" s="274">
        <v>1318.0930000000001</v>
      </c>
      <c r="BH62" s="274">
        <v>1347.5239999999999</v>
      </c>
      <c r="BI62" s="274">
        <v>1377.777</v>
      </c>
      <c r="BJ62" s="274">
        <v>1408.92</v>
      </c>
      <c r="BK62" s="274">
        <v>1440.902</v>
      </c>
      <c r="BL62" s="274">
        <v>1473.741</v>
      </c>
      <c r="BM62" s="274">
        <v>1507.4280000000001</v>
      </c>
      <c r="BN62" s="274">
        <v>1541.9359999999999</v>
      </c>
      <c r="BO62" s="274">
        <v>1577.298</v>
      </c>
      <c r="BP62" s="274">
        <v>1613.489</v>
      </c>
      <c r="BQ62" s="274">
        <v>1650.3510000000001</v>
      </c>
      <c r="BR62" s="274">
        <v>1687.673</v>
      </c>
      <c r="BS62" s="274">
        <v>1725.2919999999999</v>
      </c>
    </row>
    <row r="63" spans="1:71" x14ac:dyDescent="0.4">
      <c r="A63" s="270">
        <v>44</v>
      </c>
      <c r="B63" s="271" t="s">
        <v>890</v>
      </c>
      <c r="C63" s="276" t="s">
        <v>705</v>
      </c>
      <c r="D63" s="273"/>
      <c r="E63" s="273">
        <v>678</v>
      </c>
      <c r="F63" s="274">
        <v>60</v>
      </c>
      <c r="G63" s="274">
        <v>59.203000000000003</v>
      </c>
      <c r="H63" s="274">
        <v>58.524999999999999</v>
      </c>
      <c r="I63" s="274">
        <v>58.162999999999997</v>
      </c>
      <c r="J63" s="274">
        <v>58.238</v>
      </c>
      <c r="K63" s="274">
        <v>58.781999999999996</v>
      </c>
      <c r="L63" s="274">
        <v>59.744</v>
      </c>
      <c r="M63" s="274">
        <v>60.99</v>
      </c>
      <c r="N63" s="274">
        <v>62.316000000000003</v>
      </c>
      <c r="O63" s="274">
        <v>63.475999999999999</v>
      </c>
      <c r="P63" s="274">
        <v>64.254999999999995</v>
      </c>
      <c r="Q63" s="274">
        <v>64.549000000000007</v>
      </c>
      <c r="R63" s="274">
        <v>64.429000000000002</v>
      </c>
      <c r="S63" s="274">
        <v>64.180999999999997</v>
      </c>
      <c r="T63" s="274">
        <v>64.209000000000003</v>
      </c>
      <c r="U63" s="274">
        <v>64.796999999999997</v>
      </c>
      <c r="V63" s="274">
        <v>66.057000000000002</v>
      </c>
      <c r="W63" s="274">
        <v>67.873999999999995</v>
      </c>
      <c r="X63" s="274">
        <v>70.040000000000006</v>
      </c>
      <c r="Y63" s="274">
        <v>72.239999999999995</v>
      </c>
      <c r="Z63" s="274">
        <v>74.251000000000005</v>
      </c>
      <c r="AA63" s="274">
        <v>75.989000000000004</v>
      </c>
      <c r="AB63" s="274">
        <v>77.536000000000001</v>
      </c>
      <c r="AC63" s="274">
        <v>79.025999999999996</v>
      </c>
      <c r="AD63" s="274">
        <v>80.67</v>
      </c>
      <c r="AE63" s="274">
        <v>82.606999999999999</v>
      </c>
      <c r="AF63" s="274">
        <v>84.888999999999996</v>
      </c>
      <c r="AG63" s="274">
        <v>87.436000000000007</v>
      </c>
      <c r="AH63" s="274">
        <v>90.094999999999999</v>
      </c>
      <c r="AI63" s="274">
        <v>92.652000000000001</v>
      </c>
      <c r="AJ63" s="274">
        <v>94.953000000000003</v>
      </c>
      <c r="AK63" s="274">
        <v>96.947000000000003</v>
      </c>
      <c r="AL63" s="274">
        <v>98.691999999999993</v>
      </c>
      <c r="AM63" s="274">
        <v>100.285</v>
      </c>
      <c r="AN63" s="274">
        <v>101.871</v>
      </c>
      <c r="AO63" s="274">
        <v>103.557</v>
      </c>
      <c r="AP63" s="274">
        <v>105.364</v>
      </c>
      <c r="AQ63" s="274">
        <v>107.264</v>
      </c>
      <c r="AR63" s="274">
        <v>109.268</v>
      </c>
      <c r="AS63" s="274">
        <v>111.373</v>
      </c>
      <c r="AT63" s="274">
        <v>113.575</v>
      </c>
      <c r="AU63" s="274">
        <v>115.9</v>
      </c>
      <c r="AV63" s="274">
        <v>118.346</v>
      </c>
      <c r="AW63" s="274">
        <v>120.849</v>
      </c>
      <c r="AX63" s="274">
        <v>123.318</v>
      </c>
      <c r="AY63" s="274">
        <v>125.694</v>
      </c>
      <c r="AZ63" s="274">
        <v>127.946</v>
      </c>
      <c r="BA63" s="274">
        <v>130.11000000000001</v>
      </c>
      <c r="BB63" s="274">
        <v>132.28399999999999</v>
      </c>
      <c r="BC63" s="274">
        <v>134.602</v>
      </c>
      <c r="BD63" s="274">
        <v>137.16399999999999</v>
      </c>
      <c r="BE63" s="274">
        <v>140.00299999999999</v>
      </c>
      <c r="BF63" s="274">
        <v>143.08500000000001</v>
      </c>
      <c r="BG63" s="274">
        <v>146.357</v>
      </c>
      <c r="BH63" s="274">
        <v>149.732</v>
      </c>
      <c r="BI63" s="274">
        <v>153.14599999999999</v>
      </c>
      <c r="BJ63" s="274">
        <v>156.584</v>
      </c>
      <c r="BK63" s="274">
        <v>160.06399999999999</v>
      </c>
      <c r="BL63" s="274">
        <v>163.595</v>
      </c>
      <c r="BM63" s="274">
        <v>167.196</v>
      </c>
      <c r="BN63" s="274">
        <v>170.88</v>
      </c>
      <c r="BO63" s="274">
        <v>174.64599999999999</v>
      </c>
      <c r="BP63" s="274">
        <v>178.48400000000001</v>
      </c>
      <c r="BQ63" s="274">
        <v>182.386</v>
      </c>
      <c r="BR63" s="274">
        <v>186.34200000000001</v>
      </c>
      <c r="BS63" s="274">
        <v>190.34399999999999</v>
      </c>
    </row>
    <row r="64" spans="1:71" x14ac:dyDescent="0.4">
      <c r="A64" s="270">
        <v>45</v>
      </c>
      <c r="B64" s="271" t="s">
        <v>890</v>
      </c>
      <c r="C64" s="277" t="s">
        <v>914</v>
      </c>
      <c r="D64" s="273"/>
      <c r="E64" s="273">
        <v>912</v>
      </c>
      <c r="F64" s="274">
        <v>49221.875999999997</v>
      </c>
      <c r="G64" s="274">
        <v>50394.764000000003</v>
      </c>
      <c r="H64" s="274">
        <v>51632.709000000003</v>
      </c>
      <c r="I64" s="274">
        <v>52935.203999999998</v>
      </c>
      <c r="J64" s="274">
        <v>54301.152000000002</v>
      </c>
      <c r="K64" s="274">
        <v>55728.885999999999</v>
      </c>
      <c r="L64" s="274">
        <v>57216.116999999998</v>
      </c>
      <c r="M64" s="274">
        <v>58759.978000000003</v>
      </c>
      <c r="N64" s="274">
        <v>60357.129000000001</v>
      </c>
      <c r="O64" s="274">
        <v>62003.911</v>
      </c>
      <c r="P64" s="274">
        <v>63696.873</v>
      </c>
      <c r="Q64" s="274">
        <v>65433.302000000003</v>
      </c>
      <c r="R64" s="274">
        <v>67211.712</v>
      </c>
      <c r="S64" s="274">
        <v>69032.024999999994</v>
      </c>
      <c r="T64" s="274">
        <v>70895.024999999994</v>
      </c>
      <c r="U64" s="274">
        <v>72800.627999999997</v>
      </c>
      <c r="V64" s="274">
        <v>74753.346999999994</v>
      </c>
      <c r="W64" s="274">
        <v>76751.629000000001</v>
      </c>
      <c r="X64" s="274">
        <v>78782.726999999999</v>
      </c>
      <c r="Y64" s="274">
        <v>80829.502999999997</v>
      </c>
      <c r="Z64" s="274">
        <v>82882.521999999997</v>
      </c>
      <c r="AA64" s="274">
        <v>84937.125</v>
      </c>
      <c r="AB64" s="274">
        <v>87005.607999999993</v>
      </c>
      <c r="AC64" s="274">
        <v>89116.673999999999</v>
      </c>
      <c r="AD64" s="274">
        <v>91309.322</v>
      </c>
      <c r="AE64" s="274">
        <v>93613.126999999993</v>
      </c>
      <c r="AF64" s="274">
        <v>96035.001999999993</v>
      </c>
      <c r="AG64" s="274">
        <v>98571.305999999997</v>
      </c>
      <c r="AH64" s="274">
        <v>101227.40399999999</v>
      </c>
      <c r="AI64" s="274">
        <v>104006.306</v>
      </c>
      <c r="AJ64" s="274">
        <v>106907.58500000001</v>
      </c>
      <c r="AK64" s="274">
        <v>109934.073</v>
      </c>
      <c r="AL64" s="274">
        <v>113079.304</v>
      </c>
      <c r="AM64" s="274">
        <v>116320.867</v>
      </c>
      <c r="AN64" s="274">
        <v>119628.62</v>
      </c>
      <c r="AO64" s="274">
        <v>122978.399</v>
      </c>
      <c r="AP64" s="274">
        <v>126352.736</v>
      </c>
      <c r="AQ64" s="274">
        <v>129747.54300000001</v>
      </c>
      <c r="AR64" s="274">
        <v>133167.29300000001</v>
      </c>
      <c r="AS64" s="274">
        <v>136622.875</v>
      </c>
      <c r="AT64" s="274">
        <v>140116.61300000001</v>
      </c>
      <c r="AU64" s="274">
        <v>143656.09400000001</v>
      </c>
      <c r="AV64" s="274">
        <v>147220.95699999999</v>
      </c>
      <c r="AW64" s="274">
        <v>150752.99900000001</v>
      </c>
      <c r="AX64" s="274">
        <v>154175.82699999999</v>
      </c>
      <c r="AY64" s="274">
        <v>157438.16200000001</v>
      </c>
      <c r="AZ64" s="274">
        <v>160517.97700000001</v>
      </c>
      <c r="BA64" s="274">
        <v>163440.177</v>
      </c>
      <c r="BB64" s="274">
        <v>166259.481</v>
      </c>
      <c r="BC64" s="274">
        <v>169055.86499999999</v>
      </c>
      <c r="BD64" s="274">
        <v>171890.851</v>
      </c>
      <c r="BE64" s="274">
        <v>174786.70199999999</v>
      </c>
      <c r="BF64" s="274">
        <v>177738.19</v>
      </c>
      <c r="BG64" s="274">
        <v>180747.117</v>
      </c>
      <c r="BH64" s="274">
        <v>183807.19399999999</v>
      </c>
      <c r="BI64" s="274">
        <v>186917.28599999999</v>
      </c>
      <c r="BJ64" s="274">
        <v>190076.359</v>
      </c>
      <c r="BK64" s="274">
        <v>193300.08199999999</v>
      </c>
      <c r="BL64" s="274">
        <v>196622.14300000001</v>
      </c>
      <c r="BM64" s="274">
        <v>200085.36900000001</v>
      </c>
      <c r="BN64" s="274">
        <v>203716.73300000001</v>
      </c>
      <c r="BO64" s="274">
        <v>207527.83300000001</v>
      </c>
      <c r="BP64" s="274">
        <v>211499.571</v>
      </c>
      <c r="BQ64" s="274">
        <v>215589.05600000001</v>
      </c>
      <c r="BR64" s="274">
        <v>219735.65299999999</v>
      </c>
      <c r="BS64" s="274">
        <v>223891.52799999999</v>
      </c>
    </row>
    <row r="65" spans="1:71" x14ac:dyDescent="0.4">
      <c r="A65" s="270">
        <v>46</v>
      </c>
      <c r="B65" s="271" t="s">
        <v>890</v>
      </c>
      <c r="C65" s="276" t="s">
        <v>191</v>
      </c>
      <c r="D65" s="273"/>
      <c r="E65" s="273">
        <v>12</v>
      </c>
      <c r="F65" s="274">
        <v>8872.2469999999994</v>
      </c>
      <c r="G65" s="274">
        <v>9039.9130000000005</v>
      </c>
      <c r="H65" s="274">
        <v>9216.3950000000004</v>
      </c>
      <c r="I65" s="274">
        <v>9405.4449999999997</v>
      </c>
      <c r="J65" s="274">
        <v>9609.5069999999996</v>
      </c>
      <c r="K65" s="274">
        <v>9829.7170000000006</v>
      </c>
      <c r="L65" s="274">
        <v>10065.829</v>
      </c>
      <c r="M65" s="274">
        <v>10316.288</v>
      </c>
      <c r="N65" s="274">
        <v>10578.453</v>
      </c>
      <c r="O65" s="274">
        <v>10848.971</v>
      </c>
      <c r="P65" s="274">
        <v>11124.892</v>
      </c>
      <c r="Q65" s="274">
        <v>11404.859</v>
      </c>
      <c r="R65" s="274">
        <v>11690.152</v>
      </c>
      <c r="S65" s="274">
        <v>11985.13</v>
      </c>
      <c r="T65" s="274">
        <v>12295.973</v>
      </c>
      <c r="U65" s="274">
        <v>12626.953</v>
      </c>
      <c r="V65" s="274">
        <v>12980.269</v>
      </c>
      <c r="W65" s="274">
        <v>13354.197</v>
      </c>
      <c r="X65" s="274">
        <v>13744.383</v>
      </c>
      <c r="Y65" s="274">
        <v>14144.437</v>
      </c>
      <c r="Z65" s="274">
        <v>14550.032999999999</v>
      </c>
      <c r="AA65" s="274">
        <v>14960.111000000001</v>
      </c>
      <c r="AB65" s="274">
        <v>15377.094999999999</v>
      </c>
      <c r="AC65" s="274">
        <v>15804.428</v>
      </c>
      <c r="AD65" s="274">
        <v>16247.112999999999</v>
      </c>
      <c r="AE65" s="274">
        <v>16709.098000000002</v>
      </c>
      <c r="AF65" s="274">
        <v>17190.236000000001</v>
      </c>
      <c r="AG65" s="274">
        <v>17690.184000000001</v>
      </c>
      <c r="AH65" s="274">
        <v>18212.330999999998</v>
      </c>
      <c r="AI65" s="274">
        <v>18760.760999999999</v>
      </c>
      <c r="AJ65" s="274">
        <v>19337.723000000002</v>
      </c>
      <c r="AK65" s="274">
        <v>19943.667000000001</v>
      </c>
      <c r="AL65" s="274">
        <v>20575.701000000001</v>
      </c>
      <c r="AM65" s="274">
        <v>21228.288</v>
      </c>
      <c r="AN65" s="274">
        <v>21893.857</v>
      </c>
      <c r="AO65" s="274">
        <v>22565.907999999999</v>
      </c>
      <c r="AP65" s="274">
        <v>23241.276000000002</v>
      </c>
      <c r="AQ65" s="274">
        <v>23917.888999999999</v>
      </c>
      <c r="AR65" s="274">
        <v>24591.492999999999</v>
      </c>
      <c r="AS65" s="274">
        <v>25257.670999999998</v>
      </c>
      <c r="AT65" s="274">
        <v>25912.364000000001</v>
      </c>
      <c r="AU65" s="274">
        <v>26554.276999999998</v>
      </c>
      <c r="AV65" s="274">
        <v>27180.920999999998</v>
      </c>
      <c r="AW65" s="274">
        <v>27785.976999999999</v>
      </c>
      <c r="AX65" s="274">
        <v>28362.014999999999</v>
      </c>
      <c r="AY65" s="274">
        <v>28904.3</v>
      </c>
      <c r="AZ65" s="274">
        <v>29411.839</v>
      </c>
      <c r="BA65" s="274">
        <v>29887.717000000001</v>
      </c>
      <c r="BB65" s="274">
        <v>30336.880000000001</v>
      </c>
      <c r="BC65" s="274">
        <v>30766.550999999999</v>
      </c>
      <c r="BD65" s="274">
        <v>31183.657999999999</v>
      </c>
      <c r="BE65" s="274">
        <v>31590.32</v>
      </c>
      <c r="BF65" s="274">
        <v>31990.386999999999</v>
      </c>
      <c r="BG65" s="274">
        <v>32394.885999999999</v>
      </c>
      <c r="BH65" s="274">
        <v>32817.224999999999</v>
      </c>
      <c r="BI65" s="274">
        <v>33267.887000000002</v>
      </c>
      <c r="BJ65" s="274">
        <v>33749.328000000001</v>
      </c>
      <c r="BK65" s="274">
        <v>34261.970999999998</v>
      </c>
      <c r="BL65" s="274">
        <v>34811.059000000001</v>
      </c>
      <c r="BM65" s="274">
        <v>35401.79</v>
      </c>
      <c r="BN65" s="274">
        <v>36036.159</v>
      </c>
      <c r="BO65" s="274">
        <v>36717.131999999998</v>
      </c>
      <c r="BP65" s="274">
        <v>37439.427000000003</v>
      </c>
      <c r="BQ65" s="274">
        <v>38186.135000000002</v>
      </c>
      <c r="BR65" s="274">
        <v>38934.334000000003</v>
      </c>
      <c r="BS65" s="274">
        <v>39666.519</v>
      </c>
    </row>
    <row r="66" spans="1:71" x14ac:dyDescent="0.4">
      <c r="A66" s="270">
        <v>47</v>
      </c>
      <c r="B66" s="271" t="s">
        <v>890</v>
      </c>
      <c r="C66" s="276" t="s">
        <v>377</v>
      </c>
      <c r="D66" s="273"/>
      <c r="E66" s="273">
        <v>818</v>
      </c>
      <c r="F66" s="274">
        <v>20897.237000000001</v>
      </c>
      <c r="G66" s="274">
        <v>21383.393</v>
      </c>
      <c r="H66" s="274">
        <v>21904.477999999999</v>
      </c>
      <c r="I66" s="274">
        <v>22458.401999999998</v>
      </c>
      <c r="J66" s="274">
        <v>23043.035</v>
      </c>
      <c r="K66" s="274">
        <v>23656.216</v>
      </c>
      <c r="L66" s="274">
        <v>24295.745999999999</v>
      </c>
      <c r="M66" s="274">
        <v>24959.391</v>
      </c>
      <c r="N66" s="274">
        <v>25644.891</v>
      </c>
      <c r="O66" s="274">
        <v>26349.973000000002</v>
      </c>
      <c r="P66" s="274">
        <v>27072.397000000001</v>
      </c>
      <c r="Q66" s="274">
        <v>27810.001</v>
      </c>
      <c r="R66" s="274">
        <v>28560.741000000002</v>
      </c>
      <c r="S66" s="274">
        <v>29322.708999999999</v>
      </c>
      <c r="T66" s="274">
        <v>30094.081999999999</v>
      </c>
      <c r="U66" s="274">
        <v>30872.982</v>
      </c>
      <c r="V66" s="274">
        <v>31660.914000000001</v>
      </c>
      <c r="W66" s="274">
        <v>32456.564999999999</v>
      </c>
      <c r="X66" s="274">
        <v>33252.275000000001</v>
      </c>
      <c r="Y66" s="274">
        <v>34038.146999999997</v>
      </c>
      <c r="Z66" s="274">
        <v>34808.599000000002</v>
      </c>
      <c r="AA66" s="274">
        <v>35561.087</v>
      </c>
      <c r="AB66" s="274">
        <v>36302.154000000002</v>
      </c>
      <c r="AC66" s="274">
        <v>37046.807000000001</v>
      </c>
      <c r="AD66" s="274">
        <v>37815.578000000001</v>
      </c>
      <c r="AE66" s="274">
        <v>38624.410000000003</v>
      </c>
      <c r="AF66" s="274">
        <v>39478.584999999999</v>
      </c>
      <c r="AG66" s="274">
        <v>40377.667999999998</v>
      </c>
      <c r="AH66" s="274">
        <v>41324.805999999997</v>
      </c>
      <c r="AI66" s="274">
        <v>42321.74</v>
      </c>
      <c r="AJ66" s="274">
        <v>43369.552000000003</v>
      </c>
      <c r="AK66" s="274">
        <v>44465.917999999998</v>
      </c>
      <c r="AL66" s="274">
        <v>45610.43</v>
      </c>
      <c r="AM66" s="274">
        <v>46807.220999999998</v>
      </c>
      <c r="AN66" s="274">
        <v>48061.546000000002</v>
      </c>
      <c r="AO66" s="274">
        <v>49373.805999999997</v>
      </c>
      <c r="AP66" s="274">
        <v>50748.186999999998</v>
      </c>
      <c r="AQ66" s="274">
        <v>52173.84</v>
      </c>
      <c r="AR66" s="274">
        <v>53617.678</v>
      </c>
      <c r="AS66" s="274">
        <v>55035.936999999998</v>
      </c>
      <c r="AT66" s="274">
        <v>56397.273000000001</v>
      </c>
      <c r="AU66" s="274">
        <v>57689.828000000001</v>
      </c>
      <c r="AV66" s="274">
        <v>58922.017999999996</v>
      </c>
      <c r="AW66" s="274">
        <v>60108.373</v>
      </c>
      <c r="AX66" s="274">
        <v>61272.847000000002</v>
      </c>
      <c r="AY66" s="274">
        <v>62434.527000000002</v>
      </c>
      <c r="AZ66" s="274">
        <v>63595.629000000001</v>
      </c>
      <c r="BA66" s="274">
        <v>64754.565999999999</v>
      </c>
      <c r="BB66" s="274">
        <v>65922.626000000004</v>
      </c>
      <c r="BC66" s="274">
        <v>67112.876999999993</v>
      </c>
      <c r="BD66" s="274">
        <v>68334.904999999999</v>
      </c>
      <c r="BE66" s="274">
        <v>69599.945000000007</v>
      </c>
      <c r="BF66" s="274">
        <v>70908.710000000006</v>
      </c>
      <c r="BG66" s="274">
        <v>72247.626000000004</v>
      </c>
      <c r="BH66" s="274">
        <v>73596.067999999999</v>
      </c>
      <c r="BI66" s="274">
        <v>74942.115000000005</v>
      </c>
      <c r="BJ66" s="274">
        <v>76274.285000000003</v>
      </c>
      <c r="BK66" s="274">
        <v>77605.327000000005</v>
      </c>
      <c r="BL66" s="274">
        <v>78976.122000000003</v>
      </c>
      <c r="BM66" s="274">
        <v>80442.442999999999</v>
      </c>
      <c r="BN66" s="274">
        <v>82040.994000000006</v>
      </c>
      <c r="BO66" s="274">
        <v>83787.634000000005</v>
      </c>
      <c r="BP66" s="274">
        <v>85660.902000000002</v>
      </c>
      <c r="BQ66" s="274">
        <v>87613.909</v>
      </c>
      <c r="BR66" s="274">
        <v>89579.67</v>
      </c>
      <c r="BS66" s="274">
        <v>91508.084000000003</v>
      </c>
    </row>
    <row r="67" spans="1:71" x14ac:dyDescent="0.4">
      <c r="A67" s="270">
        <v>48</v>
      </c>
      <c r="B67" s="271" t="s">
        <v>890</v>
      </c>
      <c r="C67" s="276" t="s">
        <v>532</v>
      </c>
      <c r="D67" s="273"/>
      <c r="E67" s="273">
        <v>434</v>
      </c>
      <c r="F67" s="274">
        <v>1113.3820000000001</v>
      </c>
      <c r="G67" s="274">
        <v>1131.5899999999999</v>
      </c>
      <c r="H67" s="274">
        <v>1152.277</v>
      </c>
      <c r="I67" s="274">
        <v>1175.8869999999999</v>
      </c>
      <c r="J67" s="274">
        <v>1202.7370000000001</v>
      </c>
      <c r="K67" s="274">
        <v>1233.0250000000001</v>
      </c>
      <c r="L67" s="274">
        <v>1266.8130000000001</v>
      </c>
      <c r="M67" s="274">
        <v>1304.0450000000001</v>
      </c>
      <c r="N67" s="274">
        <v>1344.5609999999999</v>
      </c>
      <c r="O67" s="274">
        <v>1388.133</v>
      </c>
      <c r="P67" s="274">
        <v>1434.576</v>
      </c>
      <c r="Q67" s="274">
        <v>1483.856</v>
      </c>
      <c r="R67" s="274">
        <v>1536.1959999999999</v>
      </c>
      <c r="S67" s="274">
        <v>1592.1110000000001</v>
      </c>
      <c r="T67" s="274">
        <v>1652.2940000000001</v>
      </c>
      <c r="U67" s="274">
        <v>1717.2550000000001</v>
      </c>
      <c r="V67" s="274">
        <v>1787.08</v>
      </c>
      <c r="W67" s="274">
        <v>1861.6610000000001</v>
      </c>
      <c r="X67" s="274">
        <v>1941.056</v>
      </c>
      <c r="Y67" s="274">
        <v>2025.2819999999999</v>
      </c>
      <c r="Z67" s="274">
        <v>2114.2640000000001</v>
      </c>
      <c r="AA67" s="274">
        <v>2208.125</v>
      </c>
      <c r="AB67" s="274">
        <v>2306.6680000000001</v>
      </c>
      <c r="AC67" s="274">
        <v>2409.1010000000001</v>
      </c>
      <c r="AD67" s="274">
        <v>2514.373</v>
      </c>
      <c r="AE67" s="274">
        <v>2621.73</v>
      </c>
      <c r="AF67" s="274">
        <v>2730.373</v>
      </c>
      <c r="AG67" s="274">
        <v>2840.3780000000002</v>
      </c>
      <c r="AH67" s="274">
        <v>2952.877</v>
      </c>
      <c r="AI67" s="274">
        <v>3069.54</v>
      </c>
      <c r="AJ67" s="274">
        <v>3191.3040000000001</v>
      </c>
      <c r="AK67" s="274">
        <v>3318.56</v>
      </c>
      <c r="AL67" s="274">
        <v>3450.078</v>
      </c>
      <c r="AM67" s="274">
        <v>3583.183</v>
      </c>
      <c r="AN67" s="274">
        <v>3714.2640000000001</v>
      </c>
      <c r="AO67" s="274">
        <v>3840.6350000000002</v>
      </c>
      <c r="AP67" s="274">
        <v>3961.3629999999998</v>
      </c>
      <c r="AQ67" s="274">
        <v>4076.8879999999999</v>
      </c>
      <c r="AR67" s="274">
        <v>4187.6310000000003</v>
      </c>
      <c r="AS67" s="274">
        <v>4294.5469999999996</v>
      </c>
      <c r="AT67" s="274">
        <v>4398.4189999999999</v>
      </c>
      <c r="AU67" s="274">
        <v>4499.21</v>
      </c>
      <c r="AV67" s="274">
        <v>4596.8109999999997</v>
      </c>
      <c r="AW67" s="274">
        <v>4691.9340000000002</v>
      </c>
      <c r="AX67" s="274">
        <v>4785.4880000000003</v>
      </c>
      <c r="AY67" s="274">
        <v>4878.2020000000002</v>
      </c>
      <c r="AZ67" s="274">
        <v>4970.3909999999996</v>
      </c>
      <c r="BA67" s="274">
        <v>5062.16</v>
      </c>
      <c r="BB67" s="274">
        <v>5153.7640000000001</v>
      </c>
      <c r="BC67" s="274">
        <v>5245.4139999999998</v>
      </c>
      <c r="BD67" s="274">
        <v>5337.2640000000001</v>
      </c>
      <c r="BE67" s="274">
        <v>5428.3029999999999</v>
      </c>
      <c r="BF67" s="274">
        <v>5518.3410000000003</v>
      </c>
      <c r="BG67" s="274">
        <v>5609.1660000000002</v>
      </c>
      <c r="BH67" s="274">
        <v>5703.2240000000002</v>
      </c>
      <c r="BI67" s="274">
        <v>5801.5429999999997</v>
      </c>
      <c r="BJ67" s="274">
        <v>5907.1490000000003</v>
      </c>
      <c r="BK67" s="274">
        <v>6017.7939999999999</v>
      </c>
      <c r="BL67" s="274">
        <v>6123.0219999999999</v>
      </c>
      <c r="BM67" s="274">
        <v>6208.68</v>
      </c>
      <c r="BN67" s="274">
        <v>6265.6970000000001</v>
      </c>
      <c r="BO67" s="274">
        <v>6288.652</v>
      </c>
      <c r="BP67" s="274">
        <v>6283.4030000000002</v>
      </c>
      <c r="BQ67" s="274">
        <v>6265.9870000000001</v>
      </c>
      <c r="BR67" s="274">
        <v>6258.9840000000004</v>
      </c>
      <c r="BS67" s="274">
        <v>6278.4380000000001</v>
      </c>
    </row>
    <row r="68" spans="1:71" x14ac:dyDescent="0.4">
      <c r="A68" s="270">
        <v>49</v>
      </c>
      <c r="B68" s="271" t="s">
        <v>890</v>
      </c>
      <c r="C68" s="276" t="s">
        <v>592</v>
      </c>
      <c r="D68" s="273"/>
      <c r="E68" s="273">
        <v>504</v>
      </c>
      <c r="F68" s="274">
        <v>8985.99</v>
      </c>
      <c r="G68" s="274">
        <v>9243.68</v>
      </c>
      <c r="H68" s="274">
        <v>9529.5400000000009</v>
      </c>
      <c r="I68" s="274">
        <v>9837.7520000000004</v>
      </c>
      <c r="J68" s="274">
        <v>10163.437</v>
      </c>
      <c r="K68" s="274">
        <v>10502.663</v>
      </c>
      <c r="L68" s="274">
        <v>10852.482</v>
      </c>
      <c r="M68" s="274">
        <v>11210.888999999999</v>
      </c>
      <c r="N68" s="274">
        <v>11576.713</v>
      </c>
      <c r="O68" s="274">
        <v>11949.418</v>
      </c>
      <c r="P68" s="274">
        <v>12328.534</v>
      </c>
      <c r="Q68" s="274">
        <v>12713.043</v>
      </c>
      <c r="R68" s="274">
        <v>13100.843000000001</v>
      </c>
      <c r="S68" s="274">
        <v>13488.517</v>
      </c>
      <c r="T68" s="274">
        <v>13871.987999999999</v>
      </c>
      <c r="U68" s="274">
        <v>14248.425999999999</v>
      </c>
      <c r="V68" s="274">
        <v>14617.076999999999</v>
      </c>
      <c r="W68" s="274">
        <v>14978.905000000001</v>
      </c>
      <c r="X68" s="274">
        <v>15335.173000000001</v>
      </c>
      <c r="Y68" s="274">
        <v>15687.995999999999</v>
      </c>
      <c r="Z68" s="274">
        <v>16039.6</v>
      </c>
      <c r="AA68" s="274">
        <v>16389.949000000001</v>
      </c>
      <c r="AB68" s="274">
        <v>16740.525000000001</v>
      </c>
      <c r="AC68" s="274">
        <v>17097.003000000001</v>
      </c>
      <c r="AD68" s="274">
        <v>17466.606</v>
      </c>
      <c r="AE68" s="274">
        <v>17854.614000000001</v>
      </c>
      <c r="AF68" s="274">
        <v>18262.366000000002</v>
      </c>
      <c r="AG68" s="274">
        <v>18688.781999999999</v>
      </c>
      <c r="AH68" s="274">
        <v>19133.462</v>
      </c>
      <c r="AI68" s="274">
        <v>19595.092000000001</v>
      </c>
      <c r="AJ68" s="274">
        <v>20071.901999999998</v>
      </c>
      <c r="AK68" s="274">
        <v>20564.359</v>
      </c>
      <c r="AL68" s="274">
        <v>21070.647000000001</v>
      </c>
      <c r="AM68" s="274">
        <v>21583.745999999999</v>
      </c>
      <c r="AN68" s="274">
        <v>22094.516</v>
      </c>
      <c r="AO68" s="274">
        <v>22596.133000000002</v>
      </c>
      <c r="AP68" s="274">
        <v>23084.731</v>
      </c>
      <c r="AQ68" s="274">
        <v>23560.825000000001</v>
      </c>
      <c r="AR68" s="274">
        <v>24027.33</v>
      </c>
      <c r="AS68" s="274">
        <v>24489.353999999999</v>
      </c>
      <c r="AT68" s="274">
        <v>24950.128000000001</v>
      </c>
      <c r="AU68" s="274">
        <v>25410.178</v>
      </c>
      <c r="AV68" s="274">
        <v>25866.445</v>
      </c>
      <c r="AW68" s="274">
        <v>26314.339</v>
      </c>
      <c r="AX68" s="274">
        <v>26747.66</v>
      </c>
      <c r="AY68" s="274">
        <v>27161.888999999999</v>
      </c>
      <c r="AZ68" s="274">
        <v>27556.892</v>
      </c>
      <c r="BA68" s="274">
        <v>27934.013999999999</v>
      </c>
      <c r="BB68" s="274">
        <v>28292.298999999999</v>
      </c>
      <c r="BC68" s="274">
        <v>28630.973000000002</v>
      </c>
      <c r="BD68" s="274">
        <v>28950.553</v>
      </c>
      <c r="BE68" s="274">
        <v>29250.983</v>
      </c>
      <c r="BF68" s="274">
        <v>29535.591</v>
      </c>
      <c r="BG68" s="274">
        <v>29812.685000000001</v>
      </c>
      <c r="BH68" s="274">
        <v>30093.109</v>
      </c>
      <c r="BI68" s="274">
        <v>30385.478999999999</v>
      </c>
      <c r="BJ68" s="274">
        <v>30691.434000000001</v>
      </c>
      <c r="BK68" s="274">
        <v>31011.322</v>
      </c>
      <c r="BL68" s="274">
        <v>31350.544000000002</v>
      </c>
      <c r="BM68" s="274">
        <v>31714.957999999999</v>
      </c>
      <c r="BN68" s="274">
        <v>32107.739000000001</v>
      </c>
      <c r="BO68" s="274">
        <v>32531.964</v>
      </c>
      <c r="BP68" s="274">
        <v>32984.19</v>
      </c>
      <c r="BQ68" s="274">
        <v>33452.686000000002</v>
      </c>
      <c r="BR68" s="274">
        <v>33921.203000000001</v>
      </c>
      <c r="BS68" s="274">
        <v>34377.510999999999</v>
      </c>
    </row>
    <row r="69" spans="1:71" x14ac:dyDescent="0.4">
      <c r="A69" s="270">
        <v>50</v>
      </c>
      <c r="B69" s="271" t="s">
        <v>890</v>
      </c>
      <c r="C69" s="276" t="s">
        <v>763</v>
      </c>
      <c r="D69" s="273"/>
      <c r="E69" s="273">
        <v>729</v>
      </c>
      <c r="F69" s="274">
        <v>5733.9440000000004</v>
      </c>
      <c r="G69" s="274">
        <v>5883.67</v>
      </c>
      <c r="H69" s="274">
        <v>6039.0860000000002</v>
      </c>
      <c r="I69" s="274">
        <v>6200.4920000000002</v>
      </c>
      <c r="J69" s="274">
        <v>6368.2110000000002</v>
      </c>
      <c r="K69" s="274">
        <v>6542.5829999999996</v>
      </c>
      <c r="L69" s="274">
        <v>6723.9679999999998</v>
      </c>
      <c r="M69" s="274">
        <v>6912.7420000000002</v>
      </c>
      <c r="N69" s="274">
        <v>7109.3050000000003</v>
      </c>
      <c r="O69" s="274">
        <v>7314.0659999999998</v>
      </c>
      <c r="P69" s="274">
        <v>7527.45</v>
      </c>
      <c r="Q69" s="274">
        <v>7749.884</v>
      </c>
      <c r="R69" s="274">
        <v>7981.7969999999996</v>
      </c>
      <c r="S69" s="274">
        <v>8223.6129999999994</v>
      </c>
      <c r="T69" s="274">
        <v>8475.7649999999994</v>
      </c>
      <c r="U69" s="274">
        <v>8738.7029999999995</v>
      </c>
      <c r="V69" s="274">
        <v>9013.1119999999992</v>
      </c>
      <c r="W69" s="274">
        <v>9299.5450000000001</v>
      </c>
      <c r="X69" s="274">
        <v>9598.1959999999999</v>
      </c>
      <c r="Y69" s="274">
        <v>9909.152</v>
      </c>
      <c r="Z69" s="274">
        <v>10232.758</v>
      </c>
      <c r="AA69" s="274">
        <v>10568.788</v>
      </c>
      <c r="AB69" s="274">
        <v>10918.137000000001</v>
      </c>
      <c r="AC69" s="274">
        <v>11283.574000000001</v>
      </c>
      <c r="AD69" s="274">
        <v>11668.674000000001</v>
      </c>
      <c r="AE69" s="274">
        <v>12075.841</v>
      </c>
      <c r="AF69" s="274">
        <v>12506.035</v>
      </c>
      <c r="AG69" s="274">
        <v>12958.11</v>
      </c>
      <c r="AH69" s="274">
        <v>13429.688</v>
      </c>
      <c r="AI69" s="274">
        <v>13917.268</v>
      </c>
      <c r="AJ69" s="274">
        <v>14418.063</v>
      </c>
      <c r="AK69" s="274">
        <v>14935.471</v>
      </c>
      <c r="AL69" s="274">
        <v>15470.415000000001</v>
      </c>
      <c r="AM69" s="274">
        <v>16015.12</v>
      </c>
      <c r="AN69" s="274">
        <v>16559.205000000002</v>
      </c>
      <c r="AO69" s="274">
        <v>17097.618999999999</v>
      </c>
      <c r="AP69" s="274">
        <v>17618.851999999999</v>
      </c>
      <c r="AQ69" s="274">
        <v>18130.501</v>
      </c>
      <c r="AR69" s="274">
        <v>18669.146000000001</v>
      </c>
      <c r="AS69" s="274">
        <v>19284.633000000002</v>
      </c>
      <c r="AT69" s="274">
        <v>20008.804</v>
      </c>
      <c r="AU69" s="274">
        <v>20861.116999999998</v>
      </c>
      <c r="AV69" s="274">
        <v>21820.588</v>
      </c>
      <c r="AW69" s="274">
        <v>22829.226999999999</v>
      </c>
      <c r="AX69" s="274">
        <v>23805.536</v>
      </c>
      <c r="AY69" s="274">
        <v>24691.97</v>
      </c>
      <c r="AZ69" s="274">
        <v>25466.386999999999</v>
      </c>
      <c r="BA69" s="274">
        <v>26149.124</v>
      </c>
      <c r="BB69" s="274">
        <v>26777.059000000001</v>
      </c>
      <c r="BC69" s="274">
        <v>27406.808000000001</v>
      </c>
      <c r="BD69" s="274">
        <v>28079.664000000001</v>
      </c>
      <c r="BE69" s="274">
        <v>28805.142</v>
      </c>
      <c r="BF69" s="274">
        <v>29569.977999999999</v>
      </c>
      <c r="BG69" s="274">
        <v>30365.585999999999</v>
      </c>
      <c r="BH69" s="274">
        <v>31176.208999999999</v>
      </c>
      <c r="BI69" s="274">
        <v>31990.003000000001</v>
      </c>
      <c r="BJ69" s="274">
        <v>32809.055999999997</v>
      </c>
      <c r="BK69" s="274">
        <v>33637.96</v>
      </c>
      <c r="BL69" s="274">
        <v>34470.137999999999</v>
      </c>
      <c r="BM69" s="274">
        <v>35297.298000000003</v>
      </c>
      <c r="BN69" s="274">
        <v>36114.885000000002</v>
      </c>
      <c r="BO69" s="274">
        <v>36918.192999999999</v>
      </c>
      <c r="BP69" s="274">
        <v>37712.42</v>
      </c>
      <c r="BQ69" s="274">
        <v>38515.095000000001</v>
      </c>
      <c r="BR69" s="274">
        <v>39350.273999999998</v>
      </c>
      <c r="BS69" s="274">
        <v>40234.881999999998</v>
      </c>
    </row>
    <row r="70" spans="1:71" x14ac:dyDescent="0.4">
      <c r="A70" s="270">
        <v>51</v>
      </c>
      <c r="B70" s="271" t="s">
        <v>890</v>
      </c>
      <c r="C70" s="276" t="s">
        <v>809</v>
      </c>
      <c r="D70" s="273"/>
      <c r="E70" s="273">
        <v>788</v>
      </c>
      <c r="F70" s="274">
        <v>3605.31</v>
      </c>
      <c r="G70" s="274">
        <v>3696.4569999999999</v>
      </c>
      <c r="H70" s="274">
        <v>3773.357</v>
      </c>
      <c r="I70" s="274">
        <v>3838.4989999999998</v>
      </c>
      <c r="J70" s="274">
        <v>3894.386</v>
      </c>
      <c r="K70" s="274">
        <v>3943.5329999999999</v>
      </c>
      <c r="L70" s="274">
        <v>3988.4810000000002</v>
      </c>
      <c r="M70" s="274">
        <v>4031.7860000000001</v>
      </c>
      <c r="N70" s="274">
        <v>4075.9670000000001</v>
      </c>
      <c r="O70" s="274">
        <v>4123.4369999999999</v>
      </c>
      <c r="P70" s="274">
        <v>4176.2659999999996</v>
      </c>
      <c r="Q70" s="274">
        <v>4235.9359999999997</v>
      </c>
      <c r="R70" s="274">
        <v>4303.13</v>
      </c>
      <c r="S70" s="274">
        <v>4377.6360000000004</v>
      </c>
      <c r="T70" s="274">
        <v>4458.6090000000004</v>
      </c>
      <c r="U70" s="274">
        <v>4545.34</v>
      </c>
      <c r="V70" s="274">
        <v>4638.2709999999997</v>
      </c>
      <c r="W70" s="274">
        <v>4737.6329999999998</v>
      </c>
      <c r="X70" s="274">
        <v>4842.1660000000002</v>
      </c>
      <c r="Y70" s="274">
        <v>4950.1530000000002</v>
      </c>
      <c r="Z70" s="274">
        <v>5060.393</v>
      </c>
      <c r="AA70" s="274">
        <v>5172.692</v>
      </c>
      <c r="AB70" s="274">
        <v>5287.5479999999998</v>
      </c>
      <c r="AC70" s="274">
        <v>5405.3540000000003</v>
      </c>
      <c r="AD70" s="274">
        <v>5526.768</v>
      </c>
      <c r="AE70" s="274">
        <v>5652.4780000000001</v>
      </c>
      <c r="AF70" s="274">
        <v>5781.7929999999997</v>
      </c>
      <c r="AG70" s="274">
        <v>5915.0060000000003</v>
      </c>
      <c r="AH70" s="274">
        <v>6054.9139999999998</v>
      </c>
      <c r="AI70" s="274">
        <v>6205.21</v>
      </c>
      <c r="AJ70" s="274">
        <v>6368.1689999999999</v>
      </c>
      <c r="AK70" s="274">
        <v>6545.0249999999996</v>
      </c>
      <c r="AL70" s="274">
        <v>6733.9579999999996</v>
      </c>
      <c r="AM70" s="274">
        <v>6930.39</v>
      </c>
      <c r="AN70" s="274">
        <v>7127.9430000000002</v>
      </c>
      <c r="AO70" s="274">
        <v>7321.8770000000004</v>
      </c>
      <c r="AP70" s="274">
        <v>7509.75</v>
      </c>
      <c r="AQ70" s="274">
        <v>7692.2460000000001</v>
      </c>
      <c r="AR70" s="274">
        <v>7871.46</v>
      </c>
      <c r="AS70" s="274">
        <v>8050.9359999999997</v>
      </c>
      <c r="AT70" s="274">
        <v>8232.7970000000005</v>
      </c>
      <c r="AU70" s="274">
        <v>8417.6890000000003</v>
      </c>
      <c r="AV70" s="274">
        <v>8603.2260000000006</v>
      </c>
      <c r="AW70" s="274">
        <v>8784.8880000000008</v>
      </c>
      <c r="AX70" s="274">
        <v>8956.59</v>
      </c>
      <c r="AY70" s="274">
        <v>9113.9719999999998</v>
      </c>
      <c r="AZ70" s="274">
        <v>9256.0360000000001</v>
      </c>
      <c r="BA70" s="274">
        <v>9384.1509999999998</v>
      </c>
      <c r="BB70" s="274">
        <v>9499.3870000000006</v>
      </c>
      <c r="BC70" s="274">
        <v>9603.7330000000002</v>
      </c>
      <c r="BD70" s="274">
        <v>9699.1919999999991</v>
      </c>
      <c r="BE70" s="274">
        <v>9785.6650000000009</v>
      </c>
      <c r="BF70" s="274">
        <v>9864.2070000000003</v>
      </c>
      <c r="BG70" s="274">
        <v>9939.4779999999992</v>
      </c>
      <c r="BH70" s="274">
        <v>10017.439</v>
      </c>
      <c r="BI70" s="274">
        <v>10102.477000000001</v>
      </c>
      <c r="BJ70" s="274">
        <v>10196.441000000001</v>
      </c>
      <c r="BK70" s="274">
        <v>10298.717000000001</v>
      </c>
      <c r="BL70" s="274">
        <v>10408.091</v>
      </c>
      <c r="BM70" s="274">
        <v>10522.214</v>
      </c>
      <c r="BN70" s="274">
        <v>10639.194</v>
      </c>
      <c r="BO70" s="274">
        <v>10758.87</v>
      </c>
      <c r="BP70" s="274">
        <v>10881.45</v>
      </c>
      <c r="BQ70" s="274">
        <v>11005.706</v>
      </c>
      <c r="BR70" s="274">
        <v>11130.154</v>
      </c>
      <c r="BS70" s="274">
        <v>11253.554</v>
      </c>
    </row>
    <row r="71" spans="1:71" x14ac:dyDescent="0.4">
      <c r="A71" s="270">
        <v>52</v>
      </c>
      <c r="B71" s="271" t="s">
        <v>890</v>
      </c>
      <c r="C71" s="276" t="s">
        <v>915</v>
      </c>
      <c r="D71" s="273"/>
      <c r="E71" s="273">
        <v>732</v>
      </c>
      <c r="F71" s="274">
        <v>13.766</v>
      </c>
      <c r="G71" s="274">
        <v>16.061</v>
      </c>
      <c r="H71" s="274">
        <v>17.576000000000001</v>
      </c>
      <c r="I71" s="274">
        <v>18.727</v>
      </c>
      <c r="J71" s="274">
        <v>19.838999999999999</v>
      </c>
      <c r="K71" s="274">
        <v>21.149000000000001</v>
      </c>
      <c r="L71" s="274">
        <v>22.797999999999998</v>
      </c>
      <c r="M71" s="274">
        <v>24.837</v>
      </c>
      <c r="N71" s="274">
        <v>27.239000000000001</v>
      </c>
      <c r="O71" s="274">
        <v>29.913</v>
      </c>
      <c r="P71" s="274">
        <v>32.758000000000003</v>
      </c>
      <c r="Q71" s="274">
        <v>35.722999999999999</v>
      </c>
      <c r="R71" s="274">
        <v>38.853000000000002</v>
      </c>
      <c r="S71" s="274">
        <v>42.308999999999997</v>
      </c>
      <c r="T71" s="274">
        <v>46.314</v>
      </c>
      <c r="U71" s="274">
        <v>50.969000000000001</v>
      </c>
      <c r="V71" s="274">
        <v>56.624000000000002</v>
      </c>
      <c r="W71" s="274">
        <v>63.122999999999998</v>
      </c>
      <c r="X71" s="274">
        <v>69.477999999999994</v>
      </c>
      <c r="Y71" s="274">
        <v>74.335999999999999</v>
      </c>
      <c r="Z71" s="274">
        <v>76.875</v>
      </c>
      <c r="AA71" s="274">
        <v>76.373000000000005</v>
      </c>
      <c r="AB71" s="274">
        <v>73.480999999999995</v>
      </c>
      <c r="AC71" s="274">
        <v>70.406999999999996</v>
      </c>
      <c r="AD71" s="274">
        <v>70.209999999999994</v>
      </c>
      <c r="AE71" s="274">
        <v>74.956000000000003</v>
      </c>
      <c r="AF71" s="274">
        <v>85.614000000000004</v>
      </c>
      <c r="AG71" s="274">
        <v>101.178</v>
      </c>
      <c r="AH71" s="274">
        <v>119.32599999999999</v>
      </c>
      <c r="AI71" s="274">
        <v>136.69499999999999</v>
      </c>
      <c r="AJ71" s="274">
        <v>150.87200000000001</v>
      </c>
      <c r="AK71" s="274">
        <v>161.07300000000001</v>
      </c>
      <c r="AL71" s="274">
        <v>168.07499999999999</v>
      </c>
      <c r="AM71" s="274">
        <v>172.91900000000001</v>
      </c>
      <c r="AN71" s="274">
        <v>177.28899999999999</v>
      </c>
      <c r="AO71" s="274">
        <v>182.42099999999999</v>
      </c>
      <c r="AP71" s="274">
        <v>188.577</v>
      </c>
      <c r="AQ71" s="274">
        <v>195.35400000000001</v>
      </c>
      <c r="AR71" s="274">
        <v>202.55500000000001</v>
      </c>
      <c r="AS71" s="274">
        <v>209.797</v>
      </c>
      <c r="AT71" s="274">
        <v>216.828</v>
      </c>
      <c r="AU71" s="274">
        <v>223.79499999999999</v>
      </c>
      <c r="AV71" s="274">
        <v>230.94800000000001</v>
      </c>
      <c r="AW71" s="274">
        <v>238.261</v>
      </c>
      <c r="AX71" s="274">
        <v>245.691</v>
      </c>
      <c r="AY71" s="274">
        <v>253.30199999999999</v>
      </c>
      <c r="AZ71" s="274">
        <v>260.803</v>
      </c>
      <c r="BA71" s="274">
        <v>268.44499999999999</v>
      </c>
      <c r="BB71" s="274">
        <v>277.46600000000001</v>
      </c>
      <c r="BC71" s="274">
        <v>289.50900000000001</v>
      </c>
      <c r="BD71" s="274">
        <v>305.61500000000001</v>
      </c>
      <c r="BE71" s="274">
        <v>326.34399999999999</v>
      </c>
      <c r="BF71" s="274">
        <v>350.976</v>
      </c>
      <c r="BG71" s="274">
        <v>377.69</v>
      </c>
      <c r="BH71" s="274">
        <v>403.92</v>
      </c>
      <c r="BI71" s="274">
        <v>427.78199999999998</v>
      </c>
      <c r="BJ71" s="274">
        <v>448.666</v>
      </c>
      <c r="BK71" s="274">
        <v>466.99099999999999</v>
      </c>
      <c r="BL71" s="274">
        <v>483.16699999999997</v>
      </c>
      <c r="BM71" s="274">
        <v>497.98599999999999</v>
      </c>
      <c r="BN71" s="274">
        <v>512.06500000000005</v>
      </c>
      <c r="BO71" s="274">
        <v>525.38800000000003</v>
      </c>
      <c r="BP71" s="274">
        <v>537.779</v>
      </c>
      <c r="BQ71" s="274">
        <v>549.53800000000001</v>
      </c>
      <c r="BR71" s="274">
        <v>561.03399999999999</v>
      </c>
      <c r="BS71" s="274">
        <v>572.54</v>
      </c>
    </row>
    <row r="72" spans="1:71" x14ac:dyDescent="0.4">
      <c r="A72" s="270">
        <v>53</v>
      </c>
      <c r="B72" s="271" t="s">
        <v>890</v>
      </c>
      <c r="C72" s="277" t="s">
        <v>916</v>
      </c>
      <c r="D72" s="273"/>
      <c r="E72" s="273">
        <v>913</v>
      </c>
      <c r="F72" s="274">
        <v>15587.911</v>
      </c>
      <c r="G72" s="274">
        <v>15937.040999999999</v>
      </c>
      <c r="H72" s="274">
        <v>16304.33</v>
      </c>
      <c r="I72" s="274">
        <v>16686.368999999999</v>
      </c>
      <c r="J72" s="274">
        <v>17080.883999999998</v>
      </c>
      <c r="K72" s="274">
        <v>17486.756000000001</v>
      </c>
      <c r="L72" s="274">
        <v>17904.047999999999</v>
      </c>
      <c r="M72" s="274">
        <v>18333.972000000002</v>
      </c>
      <c r="N72" s="274">
        <v>18778.698</v>
      </c>
      <c r="O72" s="274">
        <v>19241.043000000001</v>
      </c>
      <c r="P72" s="274">
        <v>19723.585999999999</v>
      </c>
      <c r="Q72" s="274">
        <v>20227.678</v>
      </c>
      <c r="R72" s="274">
        <v>20752.612000000001</v>
      </c>
      <c r="S72" s="274">
        <v>21295.256000000001</v>
      </c>
      <c r="T72" s="274">
        <v>21851.071</v>
      </c>
      <c r="U72" s="274">
        <v>22417.151000000002</v>
      </c>
      <c r="V72" s="274">
        <v>22991.526999999998</v>
      </c>
      <c r="W72" s="274">
        <v>23576.133000000002</v>
      </c>
      <c r="X72" s="274">
        <v>24176.598000000002</v>
      </c>
      <c r="Y72" s="274">
        <v>24800.792000000001</v>
      </c>
      <c r="Z72" s="274">
        <v>25453.992999999999</v>
      </c>
      <c r="AA72" s="274">
        <v>26139.167000000001</v>
      </c>
      <c r="AB72" s="274">
        <v>26853.667000000001</v>
      </c>
      <c r="AC72" s="274">
        <v>27590.368999999999</v>
      </c>
      <c r="AD72" s="274">
        <v>28339.062999999998</v>
      </c>
      <c r="AE72" s="274">
        <v>29092.722000000002</v>
      </c>
      <c r="AF72" s="274">
        <v>29847.467000000001</v>
      </c>
      <c r="AG72" s="274">
        <v>30606.253000000001</v>
      </c>
      <c r="AH72" s="274">
        <v>31377.039000000001</v>
      </c>
      <c r="AI72" s="274">
        <v>32171.401999999998</v>
      </c>
      <c r="AJ72" s="274">
        <v>32997.010999999999</v>
      </c>
      <c r="AK72" s="274">
        <v>33858.400999999998</v>
      </c>
      <c r="AL72" s="274">
        <v>34751.303</v>
      </c>
      <c r="AM72" s="274">
        <v>35664.07</v>
      </c>
      <c r="AN72" s="274">
        <v>36580.213000000003</v>
      </c>
      <c r="AO72" s="274">
        <v>37488.692000000003</v>
      </c>
      <c r="AP72" s="274">
        <v>38379.875</v>
      </c>
      <c r="AQ72" s="274">
        <v>39258.644</v>
      </c>
      <c r="AR72" s="274">
        <v>40145.504000000001</v>
      </c>
      <c r="AS72" s="274">
        <v>41069.588000000003</v>
      </c>
      <c r="AT72" s="274">
        <v>42049.012999999999</v>
      </c>
      <c r="AU72" s="274">
        <v>43093.764999999999</v>
      </c>
      <c r="AV72" s="274">
        <v>44189.237000000001</v>
      </c>
      <c r="AW72" s="274">
        <v>45299.057999999997</v>
      </c>
      <c r="AX72" s="274">
        <v>46372.798999999999</v>
      </c>
      <c r="AY72" s="274">
        <v>47374.567000000003</v>
      </c>
      <c r="AZ72" s="274">
        <v>48291.099000000002</v>
      </c>
      <c r="BA72" s="274">
        <v>49133.904000000002</v>
      </c>
      <c r="BB72" s="274">
        <v>49922.387000000002</v>
      </c>
      <c r="BC72" s="274">
        <v>50687.199999999997</v>
      </c>
      <c r="BD72" s="274">
        <v>51451.328000000001</v>
      </c>
      <c r="BE72" s="274">
        <v>52218.951000000001</v>
      </c>
      <c r="BF72" s="274">
        <v>52984.326999999997</v>
      </c>
      <c r="BG72" s="274">
        <v>53748.946000000004</v>
      </c>
      <c r="BH72" s="274">
        <v>54512.462</v>
      </c>
      <c r="BI72" s="274">
        <v>55274.466</v>
      </c>
      <c r="BJ72" s="274">
        <v>56035.94</v>
      </c>
      <c r="BK72" s="274">
        <v>56797.694000000003</v>
      </c>
      <c r="BL72" s="274">
        <v>57558.324000000001</v>
      </c>
      <c r="BM72" s="274">
        <v>58315.544999999998</v>
      </c>
      <c r="BN72" s="274">
        <v>59066.802000000003</v>
      </c>
      <c r="BO72" s="274">
        <v>59812.546999999999</v>
      </c>
      <c r="BP72" s="274">
        <v>60550.766000000003</v>
      </c>
      <c r="BQ72" s="274">
        <v>61273.413</v>
      </c>
      <c r="BR72" s="274">
        <v>61970.158000000003</v>
      </c>
      <c r="BS72" s="274">
        <v>62633.713000000003</v>
      </c>
    </row>
    <row r="73" spans="1:71" x14ac:dyDescent="0.4">
      <c r="A73" s="270">
        <v>54</v>
      </c>
      <c r="B73" s="271" t="s">
        <v>890</v>
      </c>
      <c r="C73" s="276" t="s">
        <v>266</v>
      </c>
      <c r="D73" s="273"/>
      <c r="E73" s="273">
        <v>72</v>
      </c>
      <c r="F73" s="274">
        <v>412.53300000000002</v>
      </c>
      <c r="G73" s="274">
        <v>425.27</v>
      </c>
      <c r="H73" s="274">
        <v>437.18200000000002</v>
      </c>
      <c r="I73" s="274">
        <v>448.43700000000001</v>
      </c>
      <c r="J73" s="274">
        <v>459.20600000000002</v>
      </c>
      <c r="K73" s="274">
        <v>469.67099999999999</v>
      </c>
      <c r="L73" s="274">
        <v>480.01600000000002</v>
      </c>
      <c r="M73" s="274">
        <v>490.43299999999999</v>
      </c>
      <c r="N73" s="274">
        <v>501.11700000000002</v>
      </c>
      <c r="O73" s="274">
        <v>512.25599999999997</v>
      </c>
      <c r="P73" s="274">
        <v>524.029</v>
      </c>
      <c r="Q73" s="274">
        <v>536.57600000000002</v>
      </c>
      <c r="R73" s="274">
        <v>549.99</v>
      </c>
      <c r="S73" s="274">
        <v>564.31600000000003</v>
      </c>
      <c r="T73" s="274">
        <v>579.55999999999995</v>
      </c>
      <c r="U73" s="274">
        <v>595.74099999999999</v>
      </c>
      <c r="V73" s="274">
        <v>612.95000000000005</v>
      </c>
      <c r="W73" s="274">
        <v>631.27599999999995</v>
      </c>
      <c r="X73" s="274">
        <v>650.73</v>
      </c>
      <c r="Y73" s="274">
        <v>671.30499999999995</v>
      </c>
      <c r="Z73" s="274">
        <v>693.02099999999996</v>
      </c>
      <c r="AA73" s="274">
        <v>715.81100000000004</v>
      </c>
      <c r="AB73" s="274">
        <v>739.75400000000002</v>
      </c>
      <c r="AC73" s="274">
        <v>765.17700000000002</v>
      </c>
      <c r="AD73" s="274">
        <v>792.51300000000003</v>
      </c>
      <c r="AE73" s="274">
        <v>822.029</v>
      </c>
      <c r="AF73" s="274">
        <v>853.86</v>
      </c>
      <c r="AG73" s="274">
        <v>887.79300000000001</v>
      </c>
      <c r="AH73" s="274">
        <v>923.30499999999995</v>
      </c>
      <c r="AI73" s="274">
        <v>959.66600000000005</v>
      </c>
      <c r="AJ73" s="274">
        <v>996.33100000000002</v>
      </c>
      <c r="AK73" s="274">
        <v>1033.0730000000001</v>
      </c>
      <c r="AL73" s="274">
        <v>1069.962</v>
      </c>
      <c r="AM73" s="274">
        <v>1107.1030000000001</v>
      </c>
      <c r="AN73" s="274">
        <v>1144.7159999999999</v>
      </c>
      <c r="AO73" s="274">
        <v>1182.942</v>
      </c>
      <c r="AP73" s="274">
        <v>1221.6679999999999</v>
      </c>
      <c r="AQ73" s="274">
        <v>1260.72</v>
      </c>
      <c r="AR73" s="274">
        <v>1300.097</v>
      </c>
      <c r="AS73" s="274">
        <v>1339.8130000000001</v>
      </c>
      <c r="AT73" s="274">
        <v>1379.8140000000001</v>
      </c>
      <c r="AU73" s="274">
        <v>1420.098</v>
      </c>
      <c r="AV73" s="274">
        <v>1460.453</v>
      </c>
      <c r="AW73" s="274">
        <v>1500.356</v>
      </c>
      <c r="AX73" s="274">
        <v>1539.135</v>
      </c>
      <c r="AY73" s="274">
        <v>1576.2909999999999</v>
      </c>
      <c r="AZ73" s="274">
        <v>1611.827</v>
      </c>
      <c r="BA73" s="274">
        <v>1645.846</v>
      </c>
      <c r="BB73" s="274">
        <v>1678.1110000000001</v>
      </c>
      <c r="BC73" s="274">
        <v>1708.3679999999999</v>
      </c>
      <c r="BD73" s="274">
        <v>1736.579</v>
      </c>
      <c r="BE73" s="274">
        <v>1762.5309999999999</v>
      </c>
      <c r="BF73" s="274">
        <v>1786.672</v>
      </c>
      <c r="BG73" s="274">
        <v>1810.4380000000001</v>
      </c>
      <c r="BH73" s="274">
        <v>1835.75</v>
      </c>
      <c r="BI73" s="274">
        <v>1864.0029999999999</v>
      </c>
      <c r="BJ73" s="274">
        <v>1895.671</v>
      </c>
      <c r="BK73" s="274">
        <v>1930.431</v>
      </c>
      <c r="BL73" s="274">
        <v>1967.866</v>
      </c>
      <c r="BM73" s="274">
        <v>2007.212</v>
      </c>
      <c r="BN73" s="274">
        <v>2047.8309999999999</v>
      </c>
      <c r="BO73" s="274">
        <v>2089.7060000000001</v>
      </c>
      <c r="BP73" s="274">
        <v>2132.8220000000001</v>
      </c>
      <c r="BQ73" s="274">
        <v>2176.5100000000002</v>
      </c>
      <c r="BR73" s="274">
        <v>2219.9369999999999</v>
      </c>
      <c r="BS73" s="274">
        <v>2262.4850000000001</v>
      </c>
    </row>
    <row r="74" spans="1:71" x14ac:dyDescent="0.4">
      <c r="A74" s="270">
        <v>55</v>
      </c>
      <c r="B74" s="271" t="s">
        <v>890</v>
      </c>
      <c r="C74" s="276" t="s">
        <v>524</v>
      </c>
      <c r="D74" s="273"/>
      <c r="E74" s="273">
        <v>426</v>
      </c>
      <c r="F74" s="274">
        <v>733.94200000000001</v>
      </c>
      <c r="G74" s="274">
        <v>744.32</v>
      </c>
      <c r="H74" s="274">
        <v>754.84900000000005</v>
      </c>
      <c r="I74" s="274">
        <v>765.56399999999996</v>
      </c>
      <c r="J74" s="274">
        <v>776.51400000000001</v>
      </c>
      <c r="K74" s="274">
        <v>787.76</v>
      </c>
      <c r="L74" s="274">
        <v>799.37699999999995</v>
      </c>
      <c r="M74" s="274">
        <v>811.45299999999997</v>
      </c>
      <c r="N74" s="274">
        <v>824.08600000000001</v>
      </c>
      <c r="O74" s="274">
        <v>837.375</v>
      </c>
      <c r="P74" s="274">
        <v>851.41200000000003</v>
      </c>
      <c r="Q74" s="274">
        <v>866.25300000000004</v>
      </c>
      <c r="R74" s="274">
        <v>881.91</v>
      </c>
      <c r="S74" s="274">
        <v>898.34199999999998</v>
      </c>
      <c r="T74" s="274">
        <v>915.47299999999996</v>
      </c>
      <c r="U74" s="274">
        <v>933.25099999999998</v>
      </c>
      <c r="V74" s="274">
        <v>951.73599999999999</v>
      </c>
      <c r="W74" s="274">
        <v>970.97199999999998</v>
      </c>
      <c r="X74" s="274">
        <v>990.86900000000003</v>
      </c>
      <c r="Y74" s="274">
        <v>1011.308</v>
      </c>
      <c r="Z74" s="274">
        <v>1032.24</v>
      </c>
      <c r="AA74" s="274">
        <v>1053.5239999999999</v>
      </c>
      <c r="AB74" s="274">
        <v>1075.2809999999999</v>
      </c>
      <c r="AC74" s="274">
        <v>1098.0329999999999</v>
      </c>
      <c r="AD74" s="274">
        <v>1122.4839999999999</v>
      </c>
      <c r="AE74" s="274">
        <v>1149.0899999999999</v>
      </c>
      <c r="AF74" s="274">
        <v>1177.9749999999999</v>
      </c>
      <c r="AG74" s="274">
        <v>1208.836</v>
      </c>
      <c r="AH74" s="274">
        <v>1241.1590000000001</v>
      </c>
      <c r="AI74" s="274">
        <v>1274.2159999999999</v>
      </c>
      <c r="AJ74" s="274">
        <v>1307.403</v>
      </c>
      <c r="AK74" s="274">
        <v>1340.694</v>
      </c>
      <c r="AL74" s="274">
        <v>1374.0440000000001</v>
      </c>
      <c r="AM74" s="274">
        <v>1406.818</v>
      </c>
      <c r="AN74" s="274">
        <v>1438.248</v>
      </c>
      <c r="AO74" s="274">
        <v>1467.856</v>
      </c>
      <c r="AP74" s="274">
        <v>1495.1010000000001</v>
      </c>
      <c r="AQ74" s="274">
        <v>1520.2439999999999</v>
      </c>
      <c r="AR74" s="274">
        <v>1544.58</v>
      </c>
      <c r="AS74" s="274">
        <v>1569.9359999999999</v>
      </c>
      <c r="AT74" s="274">
        <v>1597.5340000000001</v>
      </c>
      <c r="AU74" s="274">
        <v>1627.9</v>
      </c>
      <c r="AV74" s="274">
        <v>1660.36</v>
      </c>
      <c r="AW74" s="274">
        <v>1693.4590000000001</v>
      </c>
      <c r="AX74" s="274">
        <v>1725.1179999999999</v>
      </c>
      <c r="AY74" s="274">
        <v>1753.8240000000001</v>
      </c>
      <c r="AZ74" s="274">
        <v>1779.201</v>
      </c>
      <c r="BA74" s="274">
        <v>1801.6949999999999</v>
      </c>
      <c r="BB74" s="274">
        <v>1821.6320000000001</v>
      </c>
      <c r="BC74" s="274">
        <v>1839.6310000000001</v>
      </c>
      <c r="BD74" s="274">
        <v>1856.2249999999999</v>
      </c>
      <c r="BE74" s="274">
        <v>1871.489</v>
      </c>
      <c r="BF74" s="274">
        <v>1885.4880000000001</v>
      </c>
      <c r="BG74" s="274">
        <v>1898.778</v>
      </c>
      <c r="BH74" s="274">
        <v>1912.0419999999999</v>
      </c>
      <c r="BI74" s="274">
        <v>1925.8440000000001</v>
      </c>
      <c r="BJ74" s="274">
        <v>1940.345</v>
      </c>
      <c r="BK74" s="274">
        <v>1955.6559999999999</v>
      </c>
      <c r="BL74" s="274">
        <v>1972.194</v>
      </c>
      <c r="BM74" s="274">
        <v>1990.413</v>
      </c>
      <c r="BN74" s="274">
        <v>2010.586</v>
      </c>
      <c r="BO74" s="274">
        <v>2032.95</v>
      </c>
      <c r="BP74" s="274">
        <v>2057.3310000000001</v>
      </c>
      <c r="BQ74" s="274">
        <v>2083.0610000000001</v>
      </c>
      <c r="BR74" s="274">
        <v>2109.1970000000001</v>
      </c>
      <c r="BS74" s="274">
        <v>2135.0219999999999</v>
      </c>
    </row>
    <row r="75" spans="1:71" x14ac:dyDescent="0.4">
      <c r="A75" s="270">
        <v>56</v>
      </c>
      <c r="B75" s="271" t="s">
        <v>890</v>
      </c>
      <c r="C75" s="276" t="s">
        <v>604</v>
      </c>
      <c r="D75" s="273"/>
      <c r="E75" s="273">
        <v>516</v>
      </c>
      <c r="F75" s="274">
        <v>485.274</v>
      </c>
      <c r="G75" s="274">
        <v>494.61099999999999</v>
      </c>
      <c r="H75" s="274">
        <v>504.55200000000002</v>
      </c>
      <c r="I75" s="274">
        <v>515.04</v>
      </c>
      <c r="J75" s="274">
        <v>526.03599999999994</v>
      </c>
      <c r="K75" s="274">
        <v>537.51900000000001</v>
      </c>
      <c r="L75" s="274">
        <v>549.48199999999997</v>
      </c>
      <c r="M75" s="274">
        <v>561.93600000000004</v>
      </c>
      <c r="N75" s="274">
        <v>574.90700000000004</v>
      </c>
      <c r="O75" s="274">
        <v>588.42999999999995</v>
      </c>
      <c r="P75" s="274">
        <v>602.54499999999996</v>
      </c>
      <c r="Q75" s="274">
        <v>617.28200000000004</v>
      </c>
      <c r="R75" s="274">
        <v>632.65800000000002</v>
      </c>
      <c r="S75" s="274">
        <v>648.66800000000001</v>
      </c>
      <c r="T75" s="274">
        <v>665.29700000000003</v>
      </c>
      <c r="U75" s="274">
        <v>682.553</v>
      </c>
      <c r="V75" s="274">
        <v>700.31600000000003</v>
      </c>
      <c r="W75" s="274">
        <v>718.62199999999996</v>
      </c>
      <c r="X75" s="274">
        <v>737.80200000000002</v>
      </c>
      <c r="Y75" s="274">
        <v>758.30499999999995</v>
      </c>
      <c r="Z75" s="274">
        <v>780.38599999999997</v>
      </c>
      <c r="AA75" s="274">
        <v>804.30899999999997</v>
      </c>
      <c r="AB75" s="274">
        <v>829.80600000000004</v>
      </c>
      <c r="AC75" s="274">
        <v>855.96500000000003</v>
      </c>
      <c r="AD75" s="274">
        <v>881.53</v>
      </c>
      <c r="AE75" s="274">
        <v>905.64700000000005</v>
      </c>
      <c r="AF75" s="274">
        <v>928.22799999999995</v>
      </c>
      <c r="AG75" s="274">
        <v>949.73400000000004</v>
      </c>
      <c r="AH75" s="274">
        <v>970.56899999999996</v>
      </c>
      <c r="AI75" s="274">
        <v>991.36500000000001</v>
      </c>
      <c r="AJ75" s="274">
        <v>1012.761</v>
      </c>
      <c r="AK75" s="274">
        <v>1034.4459999999999</v>
      </c>
      <c r="AL75" s="274">
        <v>1056.758</v>
      </c>
      <c r="AM75" s="274">
        <v>1081.74</v>
      </c>
      <c r="AN75" s="274">
        <v>1112.0440000000001</v>
      </c>
      <c r="AO75" s="274">
        <v>1149.3889999999999</v>
      </c>
      <c r="AP75" s="274">
        <v>1194.769</v>
      </c>
      <c r="AQ75" s="274">
        <v>1247.1859999999999</v>
      </c>
      <c r="AR75" s="274">
        <v>1303.8789999999999</v>
      </c>
      <c r="AS75" s="274">
        <v>1360.921</v>
      </c>
      <c r="AT75" s="274">
        <v>1415.4469999999999</v>
      </c>
      <c r="AU75" s="274">
        <v>1466.152</v>
      </c>
      <c r="AV75" s="274">
        <v>1513.6890000000001</v>
      </c>
      <c r="AW75" s="274">
        <v>1559.48</v>
      </c>
      <c r="AX75" s="274">
        <v>1605.828</v>
      </c>
      <c r="AY75" s="274">
        <v>1654.2139999999999</v>
      </c>
      <c r="AZ75" s="274">
        <v>1705.3489999999999</v>
      </c>
      <c r="BA75" s="274">
        <v>1758.097</v>
      </c>
      <c r="BB75" s="274">
        <v>1809.92</v>
      </c>
      <c r="BC75" s="274">
        <v>1857.32</v>
      </c>
      <c r="BD75" s="274">
        <v>1897.953</v>
      </c>
      <c r="BE75" s="274">
        <v>1931.0050000000001</v>
      </c>
      <c r="BF75" s="274">
        <v>1957.749</v>
      </c>
      <c r="BG75" s="274">
        <v>1980.5309999999999</v>
      </c>
      <c r="BH75" s="274">
        <v>2002.7449999999999</v>
      </c>
      <c r="BI75" s="274">
        <v>2027.0260000000001</v>
      </c>
      <c r="BJ75" s="274">
        <v>2053.915</v>
      </c>
      <c r="BK75" s="274">
        <v>2083.174</v>
      </c>
      <c r="BL75" s="274">
        <v>2115.703</v>
      </c>
      <c r="BM75" s="274">
        <v>2152.357</v>
      </c>
      <c r="BN75" s="274">
        <v>2193.643</v>
      </c>
      <c r="BO75" s="274">
        <v>2240.1610000000001</v>
      </c>
      <c r="BP75" s="274">
        <v>2291.645</v>
      </c>
      <c r="BQ75" s="274">
        <v>2346.5920000000001</v>
      </c>
      <c r="BR75" s="274">
        <v>2402.8580000000002</v>
      </c>
      <c r="BS75" s="274">
        <v>2458.83</v>
      </c>
    </row>
    <row r="76" spans="1:71" x14ac:dyDescent="0.4">
      <c r="A76" s="270">
        <v>57</v>
      </c>
      <c r="B76" s="271" t="s">
        <v>890</v>
      </c>
      <c r="C76" s="276" t="s">
        <v>747</v>
      </c>
      <c r="D76" s="273"/>
      <c r="E76" s="273">
        <v>710</v>
      </c>
      <c r="F76" s="274">
        <v>13683.162</v>
      </c>
      <c r="G76" s="274">
        <v>13993.888000000001</v>
      </c>
      <c r="H76" s="274">
        <v>14322.409</v>
      </c>
      <c r="I76" s="274">
        <v>14665.138999999999</v>
      </c>
      <c r="J76" s="274">
        <v>15019.626</v>
      </c>
      <c r="K76" s="274">
        <v>15384.557000000001</v>
      </c>
      <c r="L76" s="274">
        <v>15759.812</v>
      </c>
      <c r="M76" s="274">
        <v>16146.41</v>
      </c>
      <c r="N76" s="274">
        <v>16546.324000000001</v>
      </c>
      <c r="O76" s="274">
        <v>16962.183000000001</v>
      </c>
      <c r="P76" s="274">
        <v>17396.366999999998</v>
      </c>
      <c r="Q76" s="274">
        <v>17850.044999999998</v>
      </c>
      <c r="R76" s="274">
        <v>18322.334999999999</v>
      </c>
      <c r="S76" s="274">
        <v>18809.938999999998</v>
      </c>
      <c r="T76" s="274">
        <v>19308.166000000001</v>
      </c>
      <c r="U76" s="274">
        <v>19813.947</v>
      </c>
      <c r="V76" s="274">
        <v>20325.23</v>
      </c>
      <c r="W76" s="274">
        <v>20843.785</v>
      </c>
      <c r="X76" s="274">
        <v>21374.931</v>
      </c>
      <c r="Y76" s="274">
        <v>21926.165000000001</v>
      </c>
      <c r="Z76" s="274">
        <v>22502.502</v>
      </c>
      <c r="AA76" s="274">
        <v>23106.806</v>
      </c>
      <c r="AB76" s="274">
        <v>23736.489000000001</v>
      </c>
      <c r="AC76" s="274">
        <v>24384.538</v>
      </c>
      <c r="AD76" s="274">
        <v>25040.94</v>
      </c>
      <c r="AE76" s="274">
        <v>25698.856</v>
      </c>
      <c r="AF76" s="274">
        <v>26354.14</v>
      </c>
      <c r="AG76" s="274">
        <v>27009.755000000001</v>
      </c>
      <c r="AH76" s="274">
        <v>27674.446</v>
      </c>
      <c r="AI76" s="274">
        <v>28360.82</v>
      </c>
      <c r="AJ76" s="274">
        <v>29077.143</v>
      </c>
      <c r="AK76" s="274">
        <v>29828.874</v>
      </c>
      <c r="AL76" s="274">
        <v>30611.205999999998</v>
      </c>
      <c r="AM76" s="274">
        <v>31409.913</v>
      </c>
      <c r="AN76" s="274">
        <v>32204.952000000001</v>
      </c>
      <c r="AO76" s="274">
        <v>32983.012999999999</v>
      </c>
      <c r="AP76" s="274">
        <v>33733.546999999999</v>
      </c>
      <c r="AQ76" s="274">
        <v>34463.076999999997</v>
      </c>
      <c r="AR76" s="274">
        <v>35195.597999999998</v>
      </c>
      <c r="AS76" s="274">
        <v>35965.131000000001</v>
      </c>
      <c r="AT76" s="274">
        <v>36793.49</v>
      </c>
      <c r="AU76" s="274">
        <v>37692.366999999998</v>
      </c>
      <c r="AV76" s="274">
        <v>38646.788</v>
      </c>
      <c r="AW76" s="274">
        <v>39619.538999999997</v>
      </c>
      <c r="AX76" s="274">
        <v>40558.495000000003</v>
      </c>
      <c r="AY76" s="274">
        <v>41426.81</v>
      </c>
      <c r="AZ76" s="274">
        <v>42210.216</v>
      </c>
      <c r="BA76" s="274">
        <v>42921.506000000001</v>
      </c>
      <c r="BB76" s="274">
        <v>43584.03</v>
      </c>
      <c r="BC76" s="274">
        <v>44233.73</v>
      </c>
      <c r="BD76" s="274">
        <v>44896.856</v>
      </c>
      <c r="BE76" s="274">
        <v>45579.161</v>
      </c>
      <c r="BF76" s="274">
        <v>46272.222999999998</v>
      </c>
      <c r="BG76" s="274">
        <v>46971.25</v>
      </c>
      <c r="BH76" s="274">
        <v>47667.15</v>
      </c>
      <c r="BI76" s="274">
        <v>48352.951000000001</v>
      </c>
      <c r="BJ76" s="274">
        <v>49027.805</v>
      </c>
      <c r="BK76" s="274">
        <v>49693.58</v>
      </c>
      <c r="BL76" s="274">
        <v>50348.811000000002</v>
      </c>
      <c r="BM76" s="274">
        <v>50992.034</v>
      </c>
      <c r="BN76" s="274">
        <v>51621.593999999997</v>
      </c>
      <c r="BO76" s="274">
        <v>52237.271999999997</v>
      </c>
      <c r="BP76" s="274">
        <v>52837.273999999998</v>
      </c>
      <c r="BQ76" s="274">
        <v>53416.608999999997</v>
      </c>
      <c r="BR76" s="274">
        <v>53969.053999999996</v>
      </c>
      <c r="BS76" s="274">
        <v>54490.406000000003</v>
      </c>
    </row>
    <row r="77" spans="1:71" x14ac:dyDescent="0.4">
      <c r="A77" s="270">
        <v>58</v>
      </c>
      <c r="B77" s="271" t="s">
        <v>890</v>
      </c>
      <c r="C77" s="276" t="s">
        <v>771</v>
      </c>
      <c r="D77" s="273"/>
      <c r="E77" s="273">
        <v>748</v>
      </c>
      <c r="F77" s="274">
        <v>273</v>
      </c>
      <c r="G77" s="274">
        <v>278.952</v>
      </c>
      <c r="H77" s="274">
        <v>285.33800000000002</v>
      </c>
      <c r="I77" s="274">
        <v>292.18900000000002</v>
      </c>
      <c r="J77" s="274">
        <v>299.50200000000001</v>
      </c>
      <c r="K77" s="274">
        <v>307.24900000000002</v>
      </c>
      <c r="L77" s="274">
        <v>315.36099999999999</v>
      </c>
      <c r="M77" s="274">
        <v>323.74</v>
      </c>
      <c r="N77" s="274">
        <v>332.26400000000001</v>
      </c>
      <c r="O77" s="274">
        <v>340.79899999999998</v>
      </c>
      <c r="P77" s="274">
        <v>349.233</v>
      </c>
      <c r="Q77" s="274">
        <v>357.52199999999999</v>
      </c>
      <c r="R77" s="274">
        <v>365.71899999999999</v>
      </c>
      <c r="S77" s="274">
        <v>373.99099999999999</v>
      </c>
      <c r="T77" s="274">
        <v>382.57499999999999</v>
      </c>
      <c r="U77" s="274">
        <v>391.65899999999999</v>
      </c>
      <c r="V77" s="274">
        <v>401.29500000000002</v>
      </c>
      <c r="W77" s="274">
        <v>411.47800000000001</v>
      </c>
      <c r="X77" s="274">
        <v>422.26600000000002</v>
      </c>
      <c r="Y77" s="274">
        <v>433.709</v>
      </c>
      <c r="Z77" s="274">
        <v>445.84399999999999</v>
      </c>
      <c r="AA77" s="274">
        <v>458.71699999999998</v>
      </c>
      <c r="AB77" s="274">
        <v>472.33699999999999</v>
      </c>
      <c r="AC77" s="274">
        <v>486.65600000000001</v>
      </c>
      <c r="AD77" s="274">
        <v>501.596</v>
      </c>
      <c r="AE77" s="274">
        <v>517.1</v>
      </c>
      <c r="AF77" s="274">
        <v>533.26400000000001</v>
      </c>
      <c r="AG77" s="274">
        <v>550.13499999999999</v>
      </c>
      <c r="AH77" s="274">
        <v>567.55999999999995</v>
      </c>
      <c r="AI77" s="274">
        <v>585.33500000000004</v>
      </c>
      <c r="AJ77" s="274">
        <v>603.37300000000005</v>
      </c>
      <c r="AK77" s="274">
        <v>621.31399999999996</v>
      </c>
      <c r="AL77" s="274">
        <v>639.33299999999997</v>
      </c>
      <c r="AM77" s="274">
        <v>658.49599999999998</v>
      </c>
      <c r="AN77" s="274">
        <v>680.25300000000004</v>
      </c>
      <c r="AO77" s="274">
        <v>705.49199999999996</v>
      </c>
      <c r="AP77" s="274">
        <v>734.79</v>
      </c>
      <c r="AQ77" s="274">
        <v>767.41700000000003</v>
      </c>
      <c r="AR77" s="274">
        <v>801.35</v>
      </c>
      <c r="AS77" s="274">
        <v>833.78700000000003</v>
      </c>
      <c r="AT77" s="274">
        <v>862.72799999999995</v>
      </c>
      <c r="AU77" s="274">
        <v>887.24800000000005</v>
      </c>
      <c r="AV77" s="274">
        <v>907.947</v>
      </c>
      <c r="AW77" s="274">
        <v>926.22400000000005</v>
      </c>
      <c r="AX77" s="274">
        <v>944.22299999999996</v>
      </c>
      <c r="AY77" s="274">
        <v>963.428</v>
      </c>
      <c r="AZ77" s="274">
        <v>984.50599999999997</v>
      </c>
      <c r="BA77" s="274">
        <v>1006.76</v>
      </c>
      <c r="BB77" s="274">
        <v>1028.694</v>
      </c>
      <c r="BC77" s="274">
        <v>1048.1510000000001</v>
      </c>
      <c r="BD77" s="274">
        <v>1063.7149999999999</v>
      </c>
      <c r="BE77" s="274">
        <v>1074.7650000000001</v>
      </c>
      <c r="BF77" s="274">
        <v>1082.1949999999999</v>
      </c>
      <c r="BG77" s="274">
        <v>1087.9490000000001</v>
      </c>
      <c r="BH77" s="274">
        <v>1094.7750000000001</v>
      </c>
      <c r="BI77" s="274">
        <v>1104.6420000000001</v>
      </c>
      <c r="BJ77" s="274">
        <v>1118.204</v>
      </c>
      <c r="BK77" s="274">
        <v>1134.8530000000001</v>
      </c>
      <c r="BL77" s="274">
        <v>1153.75</v>
      </c>
      <c r="BM77" s="274">
        <v>1173.529</v>
      </c>
      <c r="BN77" s="274">
        <v>1193.1479999999999</v>
      </c>
      <c r="BO77" s="274">
        <v>1212.4580000000001</v>
      </c>
      <c r="BP77" s="274">
        <v>1231.694</v>
      </c>
      <c r="BQ77" s="274">
        <v>1250.6410000000001</v>
      </c>
      <c r="BR77" s="274">
        <v>1269.1120000000001</v>
      </c>
      <c r="BS77" s="274">
        <v>1286.97</v>
      </c>
    </row>
    <row r="78" spans="1:71" x14ac:dyDescent="0.4">
      <c r="A78" s="270">
        <v>59</v>
      </c>
      <c r="B78" s="271" t="s">
        <v>890</v>
      </c>
      <c r="C78" s="277" t="s">
        <v>917</v>
      </c>
      <c r="D78" s="273"/>
      <c r="E78" s="273">
        <v>914</v>
      </c>
      <c r="F78" s="274">
        <v>70768.664000000004</v>
      </c>
      <c r="G78" s="274">
        <v>71857.914000000004</v>
      </c>
      <c r="H78" s="274">
        <v>73031.862999999998</v>
      </c>
      <c r="I78" s="274">
        <v>74283.688999999998</v>
      </c>
      <c r="J78" s="274">
        <v>75607.972999999998</v>
      </c>
      <c r="K78" s="274">
        <v>77000.694000000003</v>
      </c>
      <c r="L78" s="274">
        <v>78459.271999999997</v>
      </c>
      <c r="M78" s="274">
        <v>79982.514999999999</v>
      </c>
      <c r="N78" s="274">
        <v>81570.509000000005</v>
      </c>
      <c r="O78" s="274">
        <v>83224.356</v>
      </c>
      <c r="P78" s="274">
        <v>84945.548999999999</v>
      </c>
      <c r="Q78" s="274">
        <v>86735.224000000002</v>
      </c>
      <c r="R78" s="274">
        <v>88593.557000000001</v>
      </c>
      <c r="S78" s="274">
        <v>90519.482999999993</v>
      </c>
      <c r="T78" s="274">
        <v>92511.464000000007</v>
      </c>
      <c r="U78" s="274">
        <v>94569.714000000007</v>
      </c>
      <c r="V78" s="274">
        <v>96695.918999999994</v>
      </c>
      <c r="W78" s="274">
        <v>98895.021999999997</v>
      </c>
      <c r="X78" s="274">
        <v>101174.857</v>
      </c>
      <c r="Y78" s="274">
        <v>103545.31</v>
      </c>
      <c r="Z78" s="274">
        <v>106015.196</v>
      </c>
      <c r="AA78" s="274">
        <v>108586.94899999999</v>
      </c>
      <c r="AB78" s="274">
        <v>111264.198</v>
      </c>
      <c r="AC78" s="274">
        <v>114058.19</v>
      </c>
      <c r="AD78" s="274">
        <v>116982.181</v>
      </c>
      <c r="AE78" s="274">
        <v>120045.448</v>
      </c>
      <c r="AF78" s="274">
        <v>123252.738</v>
      </c>
      <c r="AG78" s="274">
        <v>126601.72100000001</v>
      </c>
      <c r="AH78" s="274">
        <v>130085.322</v>
      </c>
      <c r="AI78" s="274">
        <v>133692.43599999999</v>
      </c>
      <c r="AJ78" s="274">
        <v>137414.071</v>
      </c>
      <c r="AK78" s="274">
        <v>141251.136</v>
      </c>
      <c r="AL78" s="274">
        <v>145204.196</v>
      </c>
      <c r="AM78" s="274">
        <v>149263.56400000001</v>
      </c>
      <c r="AN78" s="274">
        <v>153417.19399999999</v>
      </c>
      <c r="AO78" s="274">
        <v>157657.72099999999</v>
      </c>
      <c r="AP78" s="274">
        <v>161978.62</v>
      </c>
      <c r="AQ78" s="274">
        <v>166385.16200000001</v>
      </c>
      <c r="AR78" s="274">
        <v>170896.30499999999</v>
      </c>
      <c r="AS78" s="274">
        <v>175538.579</v>
      </c>
      <c r="AT78" s="274">
        <v>180330.55799999999</v>
      </c>
      <c r="AU78" s="274">
        <v>185283.932</v>
      </c>
      <c r="AV78" s="274">
        <v>190392.61199999999</v>
      </c>
      <c r="AW78" s="274">
        <v>195636.228</v>
      </c>
      <c r="AX78" s="274">
        <v>200984.78200000001</v>
      </c>
      <c r="AY78" s="274">
        <v>206419.06700000001</v>
      </c>
      <c r="AZ78" s="274">
        <v>211937.38800000001</v>
      </c>
      <c r="BA78" s="274">
        <v>217555.40100000001</v>
      </c>
      <c r="BB78" s="274">
        <v>223293.11499999999</v>
      </c>
      <c r="BC78" s="274">
        <v>229178.389</v>
      </c>
      <c r="BD78" s="274">
        <v>235235.16800000001</v>
      </c>
      <c r="BE78" s="274">
        <v>241469.77299999999</v>
      </c>
      <c r="BF78" s="274">
        <v>247888.508</v>
      </c>
      <c r="BG78" s="274">
        <v>254515.35800000001</v>
      </c>
      <c r="BH78" s="274">
        <v>261378.30100000001</v>
      </c>
      <c r="BI78" s="274">
        <v>268497.83399999997</v>
      </c>
      <c r="BJ78" s="274">
        <v>275883.16200000001</v>
      </c>
      <c r="BK78" s="274">
        <v>283532.32299999997</v>
      </c>
      <c r="BL78" s="274">
        <v>291439.52899999998</v>
      </c>
      <c r="BM78" s="274">
        <v>299593.17700000003</v>
      </c>
      <c r="BN78" s="274">
        <v>307982.413</v>
      </c>
      <c r="BO78" s="274">
        <v>316608.32799999998</v>
      </c>
      <c r="BP78" s="274">
        <v>325467.85200000001</v>
      </c>
      <c r="BQ78" s="274">
        <v>334540.21399999998</v>
      </c>
      <c r="BR78" s="274">
        <v>343798.78100000002</v>
      </c>
      <c r="BS78" s="274">
        <v>353223.96299999999</v>
      </c>
    </row>
    <row r="79" spans="1:71" x14ac:dyDescent="0.4">
      <c r="A79" s="270">
        <v>60</v>
      </c>
      <c r="B79" s="271" t="s">
        <v>890</v>
      </c>
      <c r="C79" s="276" t="s">
        <v>251</v>
      </c>
      <c r="D79" s="273"/>
      <c r="E79" s="273">
        <v>204</v>
      </c>
      <c r="F79" s="274">
        <v>2255.221</v>
      </c>
      <c r="G79" s="274">
        <v>2258.049</v>
      </c>
      <c r="H79" s="274">
        <v>2264.3780000000002</v>
      </c>
      <c r="I79" s="274">
        <v>2274.13</v>
      </c>
      <c r="J79" s="274">
        <v>2287.2249999999999</v>
      </c>
      <c r="K79" s="274">
        <v>2303.585</v>
      </c>
      <c r="L79" s="274">
        <v>2323.1309999999999</v>
      </c>
      <c r="M79" s="274">
        <v>2345.7820000000002</v>
      </c>
      <c r="N79" s="274">
        <v>2371.4609999999998</v>
      </c>
      <c r="O79" s="274">
        <v>2400.0940000000001</v>
      </c>
      <c r="P79" s="274">
        <v>2431.62</v>
      </c>
      <c r="Q79" s="274">
        <v>2466.002</v>
      </c>
      <c r="R79" s="274">
        <v>2503.232</v>
      </c>
      <c r="S79" s="274">
        <v>2543.335</v>
      </c>
      <c r="T79" s="274">
        <v>2586.3620000000001</v>
      </c>
      <c r="U79" s="274">
        <v>2632.36</v>
      </c>
      <c r="V79" s="274">
        <v>2681.3820000000001</v>
      </c>
      <c r="W79" s="274">
        <v>2733.45</v>
      </c>
      <c r="X79" s="274">
        <v>2788.5509999999999</v>
      </c>
      <c r="Y79" s="274">
        <v>2846.652</v>
      </c>
      <c r="Z79" s="274">
        <v>2907.7689999999998</v>
      </c>
      <c r="AA79" s="274">
        <v>2971.9409999999998</v>
      </c>
      <c r="AB79" s="274">
        <v>3039.3</v>
      </c>
      <c r="AC79" s="274">
        <v>3110.0740000000001</v>
      </c>
      <c r="AD79" s="274">
        <v>3184.547</v>
      </c>
      <c r="AE79" s="274">
        <v>3262.9589999999998</v>
      </c>
      <c r="AF79" s="274">
        <v>3345.5010000000002</v>
      </c>
      <c r="AG79" s="274">
        <v>3432.2620000000002</v>
      </c>
      <c r="AH79" s="274">
        <v>3523.27</v>
      </c>
      <c r="AI79" s="274">
        <v>3618.509</v>
      </c>
      <c r="AJ79" s="274">
        <v>3718.0239999999999</v>
      </c>
      <c r="AK79" s="274">
        <v>3822.2060000000001</v>
      </c>
      <c r="AL79" s="274">
        <v>3931.355</v>
      </c>
      <c r="AM79" s="274">
        <v>4045.3519999999999</v>
      </c>
      <c r="AN79" s="274">
        <v>4163.9679999999998</v>
      </c>
      <c r="AO79" s="274">
        <v>4287.2629999999999</v>
      </c>
      <c r="AP79" s="274">
        <v>4414.45</v>
      </c>
      <c r="AQ79" s="274">
        <v>4546.1360000000004</v>
      </c>
      <c r="AR79" s="274">
        <v>4685.375</v>
      </c>
      <c r="AS79" s="274">
        <v>4836.24</v>
      </c>
      <c r="AT79" s="274">
        <v>5001.2709999999997</v>
      </c>
      <c r="AU79" s="274">
        <v>5182.5249999999996</v>
      </c>
      <c r="AV79" s="274">
        <v>5378.2259999999997</v>
      </c>
      <c r="AW79" s="274">
        <v>5582.42</v>
      </c>
      <c r="AX79" s="274">
        <v>5786.7939999999999</v>
      </c>
      <c r="AY79" s="274">
        <v>5985.6580000000004</v>
      </c>
      <c r="AZ79" s="274">
        <v>6176.3180000000002</v>
      </c>
      <c r="BA79" s="274">
        <v>6361.3010000000004</v>
      </c>
      <c r="BB79" s="274">
        <v>6546.4930000000004</v>
      </c>
      <c r="BC79" s="274">
        <v>6740.491</v>
      </c>
      <c r="BD79" s="274">
        <v>6949.366</v>
      </c>
      <c r="BE79" s="274">
        <v>7174.9110000000001</v>
      </c>
      <c r="BF79" s="274">
        <v>7414.7439999999997</v>
      </c>
      <c r="BG79" s="274">
        <v>7665.6809999999996</v>
      </c>
      <c r="BH79" s="274">
        <v>7922.7960000000003</v>
      </c>
      <c r="BI79" s="274">
        <v>8182.3620000000001</v>
      </c>
      <c r="BJ79" s="274">
        <v>8443.7170000000006</v>
      </c>
      <c r="BK79" s="274">
        <v>8707.6370000000006</v>
      </c>
      <c r="BL79" s="274">
        <v>8973.5249999999996</v>
      </c>
      <c r="BM79" s="274">
        <v>9240.982</v>
      </c>
      <c r="BN79" s="274">
        <v>9509.7980000000007</v>
      </c>
      <c r="BO79" s="274">
        <v>9779.3909999999996</v>
      </c>
      <c r="BP79" s="274">
        <v>10049.791999999999</v>
      </c>
      <c r="BQ79" s="274">
        <v>10322.232</v>
      </c>
      <c r="BR79" s="274">
        <v>10598.482</v>
      </c>
      <c r="BS79" s="274">
        <v>10879.829</v>
      </c>
    </row>
    <row r="80" spans="1:71" x14ac:dyDescent="0.4">
      <c r="A80" s="270">
        <v>61</v>
      </c>
      <c r="B80" s="271" t="s">
        <v>890</v>
      </c>
      <c r="C80" s="276" t="s">
        <v>282</v>
      </c>
      <c r="D80" s="273"/>
      <c r="E80" s="273">
        <v>854</v>
      </c>
      <c r="F80" s="274">
        <v>4284.4570000000003</v>
      </c>
      <c r="G80" s="274">
        <v>4324.4930000000004</v>
      </c>
      <c r="H80" s="274">
        <v>4367.1369999999997</v>
      </c>
      <c r="I80" s="274">
        <v>4413.2030000000004</v>
      </c>
      <c r="J80" s="274">
        <v>4463.165</v>
      </c>
      <c r="K80" s="274">
        <v>4517.1549999999997</v>
      </c>
      <c r="L80" s="274">
        <v>4574.942</v>
      </c>
      <c r="M80" s="274">
        <v>4635.9539999999997</v>
      </c>
      <c r="N80" s="274">
        <v>4699.3419999999996</v>
      </c>
      <c r="O80" s="274">
        <v>4764.08</v>
      </c>
      <c r="P80" s="274">
        <v>4829.2910000000002</v>
      </c>
      <c r="Q80" s="274">
        <v>4894.5780000000004</v>
      </c>
      <c r="R80" s="274">
        <v>4960.3249999999998</v>
      </c>
      <c r="S80" s="274">
        <v>5027.8180000000002</v>
      </c>
      <c r="T80" s="274">
        <v>5098.8919999999998</v>
      </c>
      <c r="U80" s="274">
        <v>5174.8689999999997</v>
      </c>
      <c r="V80" s="274">
        <v>5256.3630000000003</v>
      </c>
      <c r="W80" s="274">
        <v>5343.02</v>
      </c>
      <c r="X80" s="274">
        <v>5434.04</v>
      </c>
      <c r="Y80" s="274">
        <v>5528.1719999999996</v>
      </c>
      <c r="Z80" s="274">
        <v>5624.5969999999998</v>
      </c>
      <c r="AA80" s="274">
        <v>5723.3789999999999</v>
      </c>
      <c r="AB80" s="274">
        <v>5825.1710000000003</v>
      </c>
      <c r="AC80" s="274">
        <v>5930.4870000000001</v>
      </c>
      <c r="AD80" s="274">
        <v>6040.0439999999999</v>
      </c>
      <c r="AE80" s="274">
        <v>6154.5479999999998</v>
      </c>
      <c r="AF80" s="274">
        <v>6274.0370000000003</v>
      </c>
      <c r="AG80" s="274">
        <v>6398.9369999999999</v>
      </c>
      <c r="AH80" s="274">
        <v>6530.82</v>
      </c>
      <c r="AI80" s="274">
        <v>6671.6589999999997</v>
      </c>
      <c r="AJ80" s="274">
        <v>6822.84</v>
      </c>
      <c r="AK80" s="274">
        <v>6985.1580000000004</v>
      </c>
      <c r="AL80" s="274">
        <v>7158.2560000000003</v>
      </c>
      <c r="AM80" s="274">
        <v>7340.9070000000002</v>
      </c>
      <c r="AN80" s="274">
        <v>7531.2439999999997</v>
      </c>
      <c r="AO80" s="274">
        <v>7727.9120000000003</v>
      </c>
      <c r="AP80" s="274">
        <v>7930.69</v>
      </c>
      <c r="AQ80" s="274">
        <v>8140.076</v>
      </c>
      <c r="AR80" s="274">
        <v>8356.3060000000005</v>
      </c>
      <c r="AS80" s="274">
        <v>8579.8250000000007</v>
      </c>
      <c r="AT80" s="274">
        <v>8811.0329999999994</v>
      </c>
      <c r="AU80" s="274">
        <v>9050.09</v>
      </c>
      <c r="AV80" s="274">
        <v>9297.116</v>
      </c>
      <c r="AW80" s="274">
        <v>9552.473</v>
      </c>
      <c r="AX80" s="274">
        <v>9816.5859999999993</v>
      </c>
      <c r="AY80" s="274">
        <v>10089.876</v>
      </c>
      <c r="AZ80" s="274">
        <v>10372.808999999999</v>
      </c>
      <c r="BA80" s="274">
        <v>10665.781000000001</v>
      </c>
      <c r="BB80" s="274">
        <v>10969.093000000001</v>
      </c>
      <c r="BC80" s="274">
        <v>11283.016</v>
      </c>
      <c r="BD80" s="274">
        <v>11607.944</v>
      </c>
      <c r="BE80" s="274">
        <v>11943.74</v>
      </c>
      <c r="BF80" s="274">
        <v>12290.984</v>
      </c>
      <c r="BG80" s="274">
        <v>12651.596</v>
      </c>
      <c r="BH80" s="274">
        <v>13028.039000000001</v>
      </c>
      <c r="BI80" s="274">
        <v>13421.929</v>
      </c>
      <c r="BJ80" s="274">
        <v>13834.195</v>
      </c>
      <c r="BK80" s="274">
        <v>14264.002</v>
      </c>
      <c r="BL80" s="274">
        <v>14709.011</v>
      </c>
      <c r="BM80" s="274">
        <v>15165.856</v>
      </c>
      <c r="BN80" s="274">
        <v>15632.066000000001</v>
      </c>
      <c r="BO80" s="274">
        <v>16106.851000000001</v>
      </c>
      <c r="BP80" s="274">
        <v>16590.812999999998</v>
      </c>
      <c r="BQ80" s="274">
        <v>17084.554</v>
      </c>
      <c r="BR80" s="274">
        <v>17589.198</v>
      </c>
      <c r="BS80" s="274">
        <v>18105.57</v>
      </c>
    </row>
    <row r="81" spans="1:71" x14ac:dyDescent="0.4">
      <c r="A81" s="270">
        <v>62</v>
      </c>
      <c r="B81" s="271" t="s">
        <v>890</v>
      </c>
      <c r="C81" s="276" t="s">
        <v>288</v>
      </c>
      <c r="D81" s="273"/>
      <c r="E81" s="273">
        <v>132</v>
      </c>
      <c r="F81" s="274">
        <v>178.066</v>
      </c>
      <c r="G81" s="274">
        <v>186.124</v>
      </c>
      <c r="H81" s="274">
        <v>191.52099999999999</v>
      </c>
      <c r="I81" s="274">
        <v>194.839</v>
      </c>
      <c r="J81" s="274">
        <v>196.63200000000001</v>
      </c>
      <c r="K81" s="274">
        <v>197.422</v>
      </c>
      <c r="L81" s="274">
        <v>197.702</v>
      </c>
      <c r="M81" s="274">
        <v>197.93299999999999</v>
      </c>
      <c r="N81" s="274">
        <v>198.541</v>
      </c>
      <c r="O81" s="274">
        <v>199.90299999999999</v>
      </c>
      <c r="P81" s="274">
        <v>202.316</v>
      </c>
      <c r="Q81" s="274">
        <v>205.958</v>
      </c>
      <c r="R81" s="274">
        <v>210.86600000000001</v>
      </c>
      <c r="S81" s="274">
        <v>216.91300000000001</v>
      </c>
      <c r="T81" s="274">
        <v>223.85400000000001</v>
      </c>
      <c r="U81" s="274">
        <v>231.42699999999999</v>
      </c>
      <c r="V81" s="274">
        <v>239.76499999999999</v>
      </c>
      <c r="W81" s="274">
        <v>248.733</v>
      </c>
      <c r="X81" s="274">
        <v>257.47800000000001</v>
      </c>
      <c r="Y81" s="274">
        <v>264.88499999999999</v>
      </c>
      <c r="Z81" s="274">
        <v>270.197</v>
      </c>
      <c r="AA81" s="274">
        <v>273.053</v>
      </c>
      <c r="AB81" s="274">
        <v>273.78800000000001</v>
      </c>
      <c r="AC81" s="274">
        <v>273.21100000000001</v>
      </c>
      <c r="AD81" s="274">
        <v>272.50900000000001</v>
      </c>
      <c r="AE81" s="274">
        <v>272.57499999999999</v>
      </c>
      <c r="AF81" s="274">
        <v>273.625</v>
      </c>
      <c r="AG81" s="274">
        <v>275.47899999999998</v>
      </c>
      <c r="AH81" s="274">
        <v>278.15199999999999</v>
      </c>
      <c r="AI81" s="274">
        <v>281.55500000000001</v>
      </c>
      <c r="AJ81" s="274">
        <v>285.59899999999999</v>
      </c>
      <c r="AK81" s="274">
        <v>290.428</v>
      </c>
      <c r="AL81" s="274">
        <v>296.07100000000003</v>
      </c>
      <c r="AM81" s="274">
        <v>302.17399999999998</v>
      </c>
      <c r="AN81" s="274">
        <v>308.25099999999998</v>
      </c>
      <c r="AO81" s="274">
        <v>313.976</v>
      </c>
      <c r="AP81" s="274">
        <v>319.161</v>
      </c>
      <c r="AQ81" s="274">
        <v>323.97199999999998</v>
      </c>
      <c r="AR81" s="274">
        <v>328.86099999999999</v>
      </c>
      <c r="AS81" s="274">
        <v>334.47300000000001</v>
      </c>
      <c r="AT81" s="274">
        <v>341.25599999999997</v>
      </c>
      <c r="AU81" s="274">
        <v>349.32600000000002</v>
      </c>
      <c r="AV81" s="274">
        <v>358.47300000000001</v>
      </c>
      <c r="AW81" s="274">
        <v>368.423</v>
      </c>
      <c r="AX81" s="274">
        <v>378.76299999999998</v>
      </c>
      <c r="AY81" s="274">
        <v>389.15600000000001</v>
      </c>
      <c r="AZ81" s="274">
        <v>399.50799999999998</v>
      </c>
      <c r="BA81" s="274">
        <v>409.80500000000001</v>
      </c>
      <c r="BB81" s="274">
        <v>419.88400000000001</v>
      </c>
      <c r="BC81" s="274">
        <v>429.57600000000002</v>
      </c>
      <c r="BD81" s="274">
        <v>438.73700000000002</v>
      </c>
      <c r="BE81" s="274">
        <v>447.35700000000003</v>
      </c>
      <c r="BF81" s="274">
        <v>455.39600000000002</v>
      </c>
      <c r="BG81" s="274">
        <v>462.67500000000001</v>
      </c>
      <c r="BH81" s="274">
        <v>468.98500000000001</v>
      </c>
      <c r="BI81" s="274">
        <v>474.22399999999999</v>
      </c>
      <c r="BJ81" s="274">
        <v>478.26499999999999</v>
      </c>
      <c r="BK81" s="274">
        <v>481.27800000000002</v>
      </c>
      <c r="BL81" s="274">
        <v>483.82400000000001</v>
      </c>
      <c r="BM81" s="274">
        <v>486.673</v>
      </c>
      <c r="BN81" s="274">
        <v>490.37900000000002</v>
      </c>
      <c r="BO81" s="274">
        <v>495.15899999999999</v>
      </c>
      <c r="BP81" s="274">
        <v>500.87</v>
      </c>
      <c r="BQ81" s="274">
        <v>507.25799999999998</v>
      </c>
      <c r="BR81" s="274">
        <v>513.90599999999995</v>
      </c>
      <c r="BS81" s="274">
        <v>520.50199999999995</v>
      </c>
    </row>
    <row r="82" spans="1:71" x14ac:dyDescent="0.4">
      <c r="A82" s="270">
        <v>63</v>
      </c>
      <c r="B82" s="271" t="s">
        <v>890</v>
      </c>
      <c r="C82" s="276" t="s">
        <v>918</v>
      </c>
      <c r="D82" s="273"/>
      <c r="E82" s="273">
        <v>384</v>
      </c>
      <c r="F82" s="274">
        <v>2630.1309999999999</v>
      </c>
      <c r="G82" s="274">
        <v>2692.6570000000002</v>
      </c>
      <c r="H82" s="274">
        <v>2758.4549999999999</v>
      </c>
      <c r="I82" s="274">
        <v>2827.8440000000001</v>
      </c>
      <c r="J82" s="274">
        <v>2901.3069999999998</v>
      </c>
      <c r="K82" s="274">
        <v>2979.491</v>
      </c>
      <c r="L82" s="274">
        <v>3063.2179999999998</v>
      </c>
      <c r="M82" s="274">
        <v>3153.4720000000002</v>
      </c>
      <c r="N82" s="274">
        <v>3251.3670000000002</v>
      </c>
      <c r="O82" s="274">
        <v>3358.0889999999999</v>
      </c>
      <c r="P82" s="274">
        <v>3474.7240000000002</v>
      </c>
      <c r="Q82" s="274">
        <v>3602.0749999999998</v>
      </c>
      <c r="R82" s="274">
        <v>3740.5030000000002</v>
      </c>
      <c r="S82" s="274">
        <v>3889.8589999999999</v>
      </c>
      <c r="T82" s="274">
        <v>4049.6750000000002</v>
      </c>
      <c r="U82" s="274">
        <v>4219.7389999999996</v>
      </c>
      <c r="V82" s="274">
        <v>4400.0540000000001</v>
      </c>
      <c r="W82" s="274">
        <v>4591.2380000000003</v>
      </c>
      <c r="X82" s="274">
        <v>4794.3990000000003</v>
      </c>
      <c r="Y82" s="274">
        <v>5010.9620000000004</v>
      </c>
      <c r="Z82" s="274">
        <v>5241.9139999999998</v>
      </c>
      <c r="AA82" s="274">
        <v>5487.5940000000001</v>
      </c>
      <c r="AB82" s="274">
        <v>5747.6329999999998</v>
      </c>
      <c r="AC82" s="274">
        <v>6021.4049999999997</v>
      </c>
      <c r="AD82" s="274">
        <v>6307.9359999999997</v>
      </c>
      <c r="AE82" s="274">
        <v>6606.3950000000004</v>
      </c>
      <c r="AF82" s="274">
        <v>6916.3019999999997</v>
      </c>
      <c r="AG82" s="274">
        <v>7237.451</v>
      </c>
      <c r="AH82" s="274">
        <v>7569.558</v>
      </c>
      <c r="AI82" s="274">
        <v>7912.39</v>
      </c>
      <c r="AJ82" s="274">
        <v>8265.5490000000009</v>
      </c>
      <c r="AK82" s="274">
        <v>8629.1209999999992</v>
      </c>
      <c r="AL82" s="274">
        <v>9002.4</v>
      </c>
      <c r="AM82" s="274">
        <v>9383.2890000000007</v>
      </c>
      <c r="AN82" s="274">
        <v>9769.1049999999996</v>
      </c>
      <c r="AO82" s="274">
        <v>10158.032999999999</v>
      </c>
      <c r="AP82" s="274">
        <v>10548.147999999999</v>
      </c>
      <c r="AQ82" s="274">
        <v>10939.986999999999</v>
      </c>
      <c r="AR82" s="274">
        <v>11337.121999999999</v>
      </c>
      <c r="AS82" s="274">
        <v>11744.698</v>
      </c>
      <c r="AT82" s="274">
        <v>12165.909</v>
      </c>
      <c r="AU82" s="274">
        <v>12600.967000000001</v>
      </c>
      <c r="AV82" s="274">
        <v>13046.906999999999</v>
      </c>
      <c r="AW82" s="274">
        <v>13499.696</v>
      </c>
      <c r="AX82" s="274">
        <v>13953.779</v>
      </c>
      <c r="AY82" s="274">
        <v>14404.34</v>
      </c>
      <c r="AZ82" s="274">
        <v>14852.192999999999</v>
      </c>
      <c r="BA82" s="274">
        <v>15296.39</v>
      </c>
      <c r="BB82" s="274">
        <v>15728.482</v>
      </c>
      <c r="BC82" s="274">
        <v>16137.824000000001</v>
      </c>
      <c r="BD82" s="274">
        <v>16517.948</v>
      </c>
      <c r="BE82" s="274">
        <v>16865.376</v>
      </c>
      <c r="BF82" s="274">
        <v>17185.420999999998</v>
      </c>
      <c r="BG82" s="274">
        <v>17491.539000000001</v>
      </c>
      <c r="BH82" s="274">
        <v>17802.516</v>
      </c>
      <c r="BI82" s="274">
        <v>18132.702000000001</v>
      </c>
      <c r="BJ82" s="274">
        <v>18486.392</v>
      </c>
      <c r="BK82" s="274">
        <v>18862.171999999999</v>
      </c>
      <c r="BL82" s="274">
        <v>19261.647000000001</v>
      </c>
      <c r="BM82" s="274">
        <v>19684.909</v>
      </c>
      <c r="BN82" s="274">
        <v>20131.706999999999</v>
      </c>
      <c r="BO82" s="274">
        <v>20604.171999999999</v>
      </c>
      <c r="BP82" s="274">
        <v>21102.641</v>
      </c>
      <c r="BQ82" s="274">
        <v>21622.49</v>
      </c>
      <c r="BR82" s="274">
        <v>22157.107</v>
      </c>
      <c r="BS82" s="274">
        <v>22701.556</v>
      </c>
    </row>
    <row r="83" spans="1:71" x14ac:dyDescent="0.4">
      <c r="A83" s="270">
        <v>64</v>
      </c>
      <c r="B83" s="271" t="s">
        <v>890</v>
      </c>
      <c r="C83" s="276" t="s">
        <v>410</v>
      </c>
      <c r="D83" s="273"/>
      <c r="E83" s="273">
        <v>270</v>
      </c>
      <c r="F83" s="274">
        <v>271.37200000000001</v>
      </c>
      <c r="G83" s="274">
        <v>272.71899999999999</v>
      </c>
      <c r="H83" s="274">
        <v>276.77100000000002</v>
      </c>
      <c r="I83" s="274">
        <v>283.50200000000001</v>
      </c>
      <c r="J83" s="274">
        <v>292.71300000000002</v>
      </c>
      <c r="K83" s="274">
        <v>304.03300000000002</v>
      </c>
      <c r="L83" s="274">
        <v>316.90600000000001</v>
      </c>
      <c r="M83" s="274">
        <v>330.60300000000001</v>
      </c>
      <c r="N83" s="274">
        <v>344.26499999999999</v>
      </c>
      <c r="O83" s="274">
        <v>356.96600000000001</v>
      </c>
      <c r="P83" s="274">
        <v>367.92899999999997</v>
      </c>
      <c r="Q83" s="274">
        <v>376.73599999999999</v>
      </c>
      <c r="R83" s="274">
        <v>383.52499999999998</v>
      </c>
      <c r="S83" s="274">
        <v>389.07</v>
      </c>
      <c r="T83" s="274">
        <v>394.55200000000002</v>
      </c>
      <c r="U83" s="274">
        <v>400.86500000000001</v>
      </c>
      <c r="V83" s="274">
        <v>408.18200000000002</v>
      </c>
      <c r="W83" s="274">
        <v>416.34199999999998</v>
      </c>
      <c r="X83" s="274">
        <v>425.50900000000001</v>
      </c>
      <c r="Y83" s="274">
        <v>435.8</v>
      </c>
      <c r="Z83" s="274">
        <v>447.28300000000002</v>
      </c>
      <c r="AA83" s="274">
        <v>460.19299999999998</v>
      </c>
      <c r="AB83" s="274">
        <v>474.53800000000001</v>
      </c>
      <c r="AC83" s="274">
        <v>489.86</v>
      </c>
      <c r="AD83" s="274">
        <v>505.512</v>
      </c>
      <c r="AE83" s="274">
        <v>521.07000000000005</v>
      </c>
      <c r="AF83" s="274">
        <v>536.40899999999999</v>
      </c>
      <c r="AG83" s="274">
        <v>551.82299999999998</v>
      </c>
      <c r="AH83" s="274">
        <v>567.82799999999997</v>
      </c>
      <c r="AI83" s="274">
        <v>585.15499999999997</v>
      </c>
      <c r="AJ83" s="274">
        <v>604.37099999999998</v>
      </c>
      <c r="AK83" s="274">
        <v>625.41300000000001</v>
      </c>
      <c r="AL83" s="274">
        <v>648.202</v>
      </c>
      <c r="AM83" s="274">
        <v>673.23</v>
      </c>
      <c r="AN83" s="274">
        <v>701.09699999999998</v>
      </c>
      <c r="AO83" s="274">
        <v>732.09199999999998</v>
      </c>
      <c r="AP83" s="274">
        <v>766.59799999999996</v>
      </c>
      <c r="AQ83" s="274">
        <v>804.13400000000001</v>
      </c>
      <c r="AR83" s="274">
        <v>843.06</v>
      </c>
      <c r="AS83" s="274">
        <v>881.14599999999996</v>
      </c>
      <c r="AT83" s="274">
        <v>916.81100000000004</v>
      </c>
      <c r="AU83" s="274">
        <v>949.49</v>
      </c>
      <c r="AV83" s="274">
        <v>979.70100000000002</v>
      </c>
      <c r="AW83" s="274">
        <v>1008.296</v>
      </c>
      <c r="AX83" s="274">
        <v>1036.627</v>
      </c>
      <c r="AY83" s="274">
        <v>1065.7460000000001</v>
      </c>
      <c r="AZ83" s="274">
        <v>1095.8389999999999</v>
      </c>
      <c r="BA83" s="274">
        <v>1126.7860000000001</v>
      </c>
      <c r="BB83" s="274">
        <v>1159.001</v>
      </c>
      <c r="BC83" s="274">
        <v>1192.92</v>
      </c>
      <c r="BD83" s="274">
        <v>1228.8630000000001</v>
      </c>
      <c r="BE83" s="274">
        <v>1267.1030000000001</v>
      </c>
      <c r="BF83" s="274">
        <v>1307.674</v>
      </c>
      <c r="BG83" s="274">
        <v>1350.345</v>
      </c>
      <c r="BH83" s="274">
        <v>1394.7270000000001</v>
      </c>
      <c r="BI83" s="274">
        <v>1440.5419999999999</v>
      </c>
      <c r="BJ83" s="274">
        <v>1487.731</v>
      </c>
      <c r="BK83" s="274">
        <v>1536.424</v>
      </c>
      <c r="BL83" s="274">
        <v>1586.749</v>
      </c>
      <c r="BM83" s="274">
        <v>1638.8989999999999</v>
      </c>
      <c r="BN83" s="274">
        <v>1693.002</v>
      </c>
      <c r="BO83" s="274">
        <v>1749.0989999999999</v>
      </c>
      <c r="BP83" s="274">
        <v>1807.1079999999999</v>
      </c>
      <c r="BQ83" s="274">
        <v>1866.8779999999999</v>
      </c>
      <c r="BR83" s="274">
        <v>1928.201</v>
      </c>
      <c r="BS83" s="274">
        <v>1990.924</v>
      </c>
    </row>
    <row r="84" spans="1:71" x14ac:dyDescent="0.4">
      <c r="A84" s="270">
        <v>65</v>
      </c>
      <c r="B84" s="271" t="s">
        <v>890</v>
      </c>
      <c r="C84" s="276" t="s">
        <v>420</v>
      </c>
      <c r="D84" s="273"/>
      <c r="E84" s="273">
        <v>288</v>
      </c>
      <c r="F84" s="274">
        <v>4980.8779999999997</v>
      </c>
      <c r="G84" s="274">
        <v>5068.433</v>
      </c>
      <c r="H84" s="274">
        <v>5191.2209999999995</v>
      </c>
      <c r="I84" s="274">
        <v>5339.1790000000001</v>
      </c>
      <c r="J84" s="274">
        <v>5504.2550000000001</v>
      </c>
      <c r="K84" s="274">
        <v>5680.4059999999999</v>
      </c>
      <c r="L84" s="274">
        <v>5863.6859999999997</v>
      </c>
      <c r="M84" s="274">
        <v>6052.1589999999997</v>
      </c>
      <c r="N84" s="274">
        <v>6245.6419999999998</v>
      </c>
      <c r="O84" s="274">
        <v>6445.2830000000004</v>
      </c>
      <c r="P84" s="274">
        <v>6652.2849999999999</v>
      </c>
      <c r="Q84" s="274">
        <v>6866.5450000000001</v>
      </c>
      <c r="R84" s="274">
        <v>7085.4629999999997</v>
      </c>
      <c r="S84" s="274">
        <v>7303.4319999999998</v>
      </c>
      <c r="T84" s="274">
        <v>7513.2860000000001</v>
      </c>
      <c r="U84" s="274">
        <v>7710.5469999999996</v>
      </c>
      <c r="V84" s="274">
        <v>7890.9920000000002</v>
      </c>
      <c r="W84" s="274">
        <v>8057.442</v>
      </c>
      <c r="X84" s="274">
        <v>8221.0210000000006</v>
      </c>
      <c r="Y84" s="274">
        <v>8397.3459999999995</v>
      </c>
      <c r="Z84" s="274">
        <v>8596.9770000000008</v>
      </c>
      <c r="AA84" s="274">
        <v>8827.2729999999992</v>
      </c>
      <c r="AB84" s="274">
        <v>9083.5750000000007</v>
      </c>
      <c r="AC84" s="274">
        <v>9350.1110000000008</v>
      </c>
      <c r="AD84" s="274">
        <v>9604.2800000000007</v>
      </c>
      <c r="AE84" s="274">
        <v>9831.4089999999997</v>
      </c>
      <c r="AF84" s="274">
        <v>10023.471</v>
      </c>
      <c r="AG84" s="274">
        <v>10189.888999999999</v>
      </c>
      <c r="AH84" s="274">
        <v>10354.49</v>
      </c>
      <c r="AI84" s="274">
        <v>10550.77</v>
      </c>
      <c r="AJ84" s="274">
        <v>10802.025</v>
      </c>
      <c r="AK84" s="274">
        <v>11117.608</v>
      </c>
      <c r="AL84" s="274">
        <v>11488.111999999999</v>
      </c>
      <c r="AM84" s="274">
        <v>11895.13</v>
      </c>
      <c r="AN84" s="274">
        <v>12311.165999999999</v>
      </c>
      <c r="AO84" s="274">
        <v>12716.237999999999</v>
      </c>
      <c r="AP84" s="274">
        <v>13103.975</v>
      </c>
      <c r="AQ84" s="274">
        <v>13480.380999999999</v>
      </c>
      <c r="AR84" s="274">
        <v>13852.597</v>
      </c>
      <c r="AS84" s="274">
        <v>14232.493</v>
      </c>
      <c r="AT84" s="274">
        <v>14628.26</v>
      </c>
      <c r="AU84" s="274">
        <v>15042.736000000001</v>
      </c>
      <c r="AV84" s="274">
        <v>15471.527</v>
      </c>
      <c r="AW84" s="274">
        <v>15907.244000000001</v>
      </c>
      <c r="AX84" s="274">
        <v>16339.343999999999</v>
      </c>
      <c r="AY84" s="274">
        <v>16760.991000000002</v>
      </c>
      <c r="AZ84" s="274">
        <v>17169.214</v>
      </c>
      <c r="BA84" s="274">
        <v>17568.582999999999</v>
      </c>
      <c r="BB84" s="274">
        <v>17969.006000000001</v>
      </c>
      <c r="BC84" s="274">
        <v>18384.425999999999</v>
      </c>
      <c r="BD84" s="274">
        <v>18824.993999999999</v>
      </c>
      <c r="BE84" s="274">
        <v>19293.804</v>
      </c>
      <c r="BF84" s="274">
        <v>19788.181</v>
      </c>
      <c r="BG84" s="274">
        <v>20305.396000000001</v>
      </c>
      <c r="BH84" s="274">
        <v>20840.492999999999</v>
      </c>
      <c r="BI84" s="274">
        <v>21389.513999999999</v>
      </c>
      <c r="BJ84" s="274">
        <v>21951.891</v>
      </c>
      <c r="BK84" s="274">
        <v>22528.041000000001</v>
      </c>
      <c r="BL84" s="274">
        <v>23115.919000000002</v>
      </c>
      <c r="BM84" s="274">
        <v>23713.164000000001</v>
      </c>
      <c r="BN84" s="274">
        <v>24317.734</v>
      </c>
      <c r="BO84" s="274">
        <v>24928.503000000001</v>
      </c>
      <c r="BP84" s="274">
        <v>25544.564999999999</v>
      </c>
      <c r="BQ84" s="274">
        <v>26164.432000000001</v>
      </c>
      <c r="BR84" s="274">
        <v>26786.598000000002</v>
      </c>
      <c r="BS84" s="274">
        <v>27409.893</v>
      </c>
    </row>
    <row r="85" spans="1:71" x14ac:dyDescent="0.4">
      <c r="A85" s="270">
        <v>66</v>
      </c>
      <c r="B85" s="271" t="s">
        <v>890</v>
      </c>
      <c r="C85" s="276" t="s">
        <v>432</v>
      </c>
      <c r="D85" s="273"/>
      <c r="E85" s="273">
        <v>324</v>
      </c>
      <c r="F85" s="274">
        <v>3093.6509999999998</v>
      </c>
      <c r="G85" s="274">
        <v>3141.5479999999998</v>
      </c>
      <c r="H85" s="274">
        <v>3185.5369999999998</v>
      </c>
      <c r="I85" s="274">
        <v>3228.1120000000001</v>
      </c>
      <c r="J85" s="274">
        <v>3271.1959999999999</v>
      </c>
      <c r="K85" s="274">
        <v>3316.1419999999998</v>
      </c>
      <c r="L85" s="274">
        <v>3363.7109999999998</v>
      </c>
      <c r="M85" s="274">
        <v>3414.0940000000001</v>
      </c>
      <c r="N85" s="274">
        <v>3466.9789999999998</v>
      </c>
      <c r="O85" s="274">
        <v>3521.6680000000001</v>
      </c>
      <c r="P85" s="274">
        <v>3577.413</v>
      </c>
      <c r="Q85" s="274">
        <v>3633.7779999999998</v>
      </c>
      <c r="R85" s="274">
        <v>3690.96</v>
      </c>
      <c r="S85" s="274">
        <v>3749.92</v>
      </c>
      <c r="T85" s="274">
        <v>3812.0039999999999</v>
      </c>
      <c r="U85" s="274">
        <v>3877.8040000000001</v>
      </c>
      <c r="V85" s="274">
        <v>3948.2060000000001</v>
      </c>
      <c r="W85" s="274">
        <v>4021.88</v>
      </c>
      <c r="X85" s="274">
        <v>4094.5279999999998</v>
      </c>
      <c r="Y85" s="274">
        <v>4160.375</v>
      </c>
      <c r="Z85" s="274">
        <v>4215.442</v>
      </c>
      <c r="AA85" s="274">
        <v>4259.1019999999999</v>
      </c>
      <c r="AB85" s="274">
        <v>4293.2079999999996</v>
      </c>
      <c r="AC85" s="274">
        <v>4319.5020000000004</v>
      </c>
      <c r="AD85" s="274">
        <v>4340.7479999999996</v>
      </c>
      <c r="AE85" s="274">
        <v>4359.7349999999997</v>
      </c>
      <c r="AF85" s="274">
        <v>4376.768</v>
      </c>
      <c r="AG85" s="274">
        <v>4393.5510000000004</v>
      </c>
      <c r="AH85" s="274">
        <v>4416.0739999999996</v>
      </c>
      <c r="AI85" s="274">
        <v>4451.8720000000003</v>
      </c>
      <c r="AJ85" s="274">
        <v>4506.5590000000002</v>
      </c>
      <c r="AK85" s="274">
        <v>4584.3050000000003</v>
      </c>
      <c r="AL85" s="274">
        <v>4684.9920000000002</v>
      </c>
      <c r="AM85" s="274">
        <v>4804.74</v>
      </c>
      <c r="AN85" s="274">
        <v>4937.2299999999996</v>
      </c>
      <c r="AO85" s="274">
        <v>5078.6890000000003</v>
      </c>
      <c r="AP85" s="274">
        <v>5223.5529999999999</v>
      </c>
      <c r="AQ85" s="274">
        <v>5375.058</v>
      </c>
      <c r="AR85" s="274">
        <v>5548.27</v>
      </c>
      <c r="AS85" s="274">
        <v>5763.8429999999998</v>
      </c>
      <c r="AT85" s="274">
        <v>6034.0820000000003</v>
      </c>
      <c r="AU85" s="274">
        <v>6367.11</v>
      </c>
      <c r="AV85" s="274">
        <v>6751.3940000000002</v>
      </c>
      <c r="AW85" s="274">
        <v>7155.5640000000003</v>
      </c>
      <c r="AX85" s="274">
        <v>7536.3890000000001</v>
      </c>
      <c r="AY85" s="274">
        <v>7863.0330000000004</v>
      </c>
      <c r="AZ85" s="274">
        <v>8124.799</v>
      </c>
      <c r="BA85" s="274">
        <v>8331.366</v>
      </c>
      <c r="BB85" s="274">
        <v>8497.5820000000003</v>
      </c>
      <c r="BC85" s="274">
        <v>8647.3359999999993</v>
      </c>
      <c r="BD85" s="274">
        <v>8799.1650000000009</v>
      </c>
      <c r="BE85" s="274">
        <v>8955.7559999999994</v>
      </c>
      <c r="BF85" s="274">
        <v>9114.2870000000003</v>
      </c>
      <c r="BG85" s="274">
        <v>9281.5720000000001</v>
      </c>
      <c r="BH85" s="274">
        <v>9464.7710000000006</v>
      </c>
      <c r="BI85" s="274">
        <v>9669.0229999999992</v>
      </c>
      <c r="BJ85" s="274">
        <v>9898.3009999999995</v>
      </c>
      <c r="BK85" s="274">
        <v>10152.521000000001</v>
      </c>
      <c r="BL85" s="274">
        <v>10427.356</v>
      </c>
      <c r="BM85" s="274">
        <v>10715.77</v>
      </c>
      <c r="BN85" s="274">
        <v>11012.406000000001</v>
      </c>
      <c r="BO85" s="274">
        <v>11316.351000000001</v>
      </c>
      <c r="BP85" s="274">
        <v>11628.767</v>
      </c>
      <c r="BQ85" s="274">
        <v>11948.726000000001</v>
      </c>
      <c r="BR85" s="274">
        <v>12275.527</v>
      </c>
      <c r="BS85" s="274">
        <v>12608.59</v>
      </c>
    </row>
    <row r="86" spans="1:71" x14ac:dyDescent="0.4">
      <c r="A86" s="270">
        <v>67</v>
      </c>
      <c r="B86" s="271" t="s">
        <v>890</v>
      </c>
      <c r="C86" s="276" t="s">
        <v>436</v>
      </c>
      <c r="D86" s="273"/>
      <c r="E86" s="273">
        <v>624</v>
      </c>
      <c r="F86" s="274">
        <v>535.42899999999997</v>
      </c>
      <c r="G86" s="274">
        <v>544.10299999999995</v>
      </c>
      <c r="H86" s="274">
        <v>552.03200000000004</v>
      </c>
      <c r="I86" s="274">
        <v>559.68799999999999</v>
      </c>
      <c r="J86" s="274">
        <v>567.40599999999995</v>
      </c>
      <c r="K86" s="274">
        <v>575.37699999999995</v>
      </c>
      <c r="L86" s="274">
        <v>583.64800000000002</v>
      </c>
      <c r="M86" s="274">
        <v>592.12400000000002</v>
      </c>
      <c r="N86" s="274">
        <v>600.59500000000003</v>
      </c>
      <c r="O86" s="274">
        <v>608.77300000000002</v>
      </c>
      <c r="P86" s="274">
        <v>616.40700000000004</v>
      </c>
      <c r="Q86" s="274">
        <v>623.41300000000001</v>
      </c>
      <c r="R86" s="274">
        <v>629.97299999999996</v>
      </c>
      <c r="S86" s="274">
        <v>636.59299999999996</v>
      </c>
      <c r="T86" s="274">
        <v>643.96199999999999</v>
      </c>
      <c r="U86" s="274">
        <v>652.56600000000003</v>
      </c>
      <c r="V86" s="274">
        <v>662.59699999999998</v>
      </c>
      <c r="W86" s="274">
        <v>673.89300000000003</v>
      </c>
      <c r="X86" s="274">
        <v>686.15499999999997</v>
      </c>
      <c r="Y86" s="274">
        <v>698.91700000000003</v>
      </c>
      <c r="Z86" s="274">
        <v>711.82799999999997</v>
      </c>
      <c r="AA86" s="274">
        <v>724.86300000000006</v>
      </c>
      <c r="AB86" s="274">
        <v>738.11699999999996</v>
      </c>
      <c r="AC86" s="274">
        <v>751.51199999999994</v>
      </c>
      <c r="AD86" s="274">
        <v>764.97400000000005</v>
      </c>
      <c r="AE86" s="274">
        <v>778.48199999999997</v>
      </c>
      <c r="AF86" s="274">
        <v>791.95899999999995</v>
      </c>
      <c r="AG86" s="274">
        <v>805.48099999999999</v>
      </c>
      <c r="AH86" s="274">
        <v>819.37099999999998</v>
      </c>
      <c r="AI86" s="274">
        <v>834.06799999999998</v>
      </c>
      <c r="AJ86" s="274">
        <v>849.88599999999997</v>
      </c>
      <c r="AK86" s="274">
        <v>866.947</v>
      </c>
      <c r="AL86" s="274">
        <v>885.16600000000005</v>
      </c>
      <c r="AM86" s="274">
        <v>904.39099999999996</v>
      </c>
      <c r="AN86" s="274">
        <v>924.37800000000004</v>
      </c>
      <c r="AO86" s="274">
        <v>944.94100000000003</v>
      </c>
      <c r="AP86" s="274">
        <v>966.03899999999999</v>
      </c>
      <c r="AQ86" s="274">
        <v>987.71799999999996</v>
      </c>
      <c r="AR86" s="274">
        <v>1009.967</v>
      </c>
      <c r="AS86" s="274">
        <v>1032.797</v>
      </c>
      <c r="AT86" s="274">
        <v>1056.2080000000001</v>
      </c>
      <c r="AU86" s="274">
        <v>1080.191</v>
      </c>
      <c r="AV86" s="274">
        <v>1104.7080000000001</v>
      </c>
      <c r="AW86" s="274">
        <v>1129.7059999999999</v>
      </c>
      <c r="AX86" s="274">
        <v>1155.1110000000001</v>
      </c>
      <c r="AY86" s="274">
        <v>1180.877</v>
      </c>
      <c r="AZ86" s="274">
        <v>1207.0060000000001</v>
      </c>
      <c r="BA86" s="274">
        <v>1233.52</v>
      </c>
      <c r="BB86" s="274">
        <v>1260.424</v>
      </c>
      <c r="BC86" s="274">
        <v>1287.7270000000001</v>
      </c>
      <c r="BD86" s="274">
        <v>1315.4549999999999</v>
      </c>
      <c r="BE86" s="274">
        <v>1343.646</v>
      </c>
      <c r="BF86" s="274">
        <v>1372.367</v>
      </c>
      <c r="BG86" s="274">
        <v>1401.7159999999999</v>
      </c>
      <c r="BH86" s="274">
        <v>1431.816</v>
      </c>
      <c r="BI86" s="274">
        <v>1462.7840000000001</v>
      </c>
      <c r="BJ86" s="274">
        <v>1494.6030000000001</v>
      </c>
      <c r="BK86" s="274">
        <v>1527.3420000000001</v>
      </c>
      <c r="BL86" s="274">
        <v>1561.2929999999999</v>
      </c>
      <c r="BM86" s="274">
        <v>1596.8320000000001</v>
      </c>
      <c r="BN86" s="274">
        <v>1634.1959999999999</v>
      </c>
      <c r="BO86" s="274">
        <v>1673.509</v>
      </c>
      <c r="BP86" s="274">
        <v>1714.62</v>
      </c>
      <c r="BQ86" s="274">
        <v>1757.1379999999999</v>
      </c>
      <c r="BR86" s="274">
        <v>1800.5129999999999</v>
      </c>
      <c r="BS86" s="274">
        <v>1844.325</v>
      </c>
    </row>
    <row r="87" spans="1:71" x14ac:dyDescent="0.4">
      <c r="A87" s="270">
        <v>68</v>
      </c>
      <c r="B87" s="271" t="s">
        <v>890</v>
      </c>
      <c r="C87" s="276" t="s">
        <v>528</v>
      </c>
      <c r="D87" s="273"/>
      <c r="E87" s="273">
        <v>430</v>
      </c>
      <c r="F87" s="274">
        <v>930.02599999999995</v>
      </c>
      <c r="G87" s="274">
        <v>943.24099999999999</v>
      </c>
      <c r="H87" s="274">
        <v>957.86400000000003</v>
      </c>
      <c r="I87" s="274">
        <v>973.89599999999996</v>
      </c>
      <c r="J87" s="274">
        <v>991.31200000000001</v>
      </c>
      <c r="K87" s="274">
        <v>1010.064</v>
      </c>
      <c r="L87" s="274">
        <v>1030.07</v>
      </c>
      <c r="M87" s="274">
        <v>1051.2249999999999</v>
      </c>
      <c r="N87" s="274">
        <v>1073.402</v>
      </c>
      <c r="O87" s="274">
        <v>1096.4680000000001</v>
      </c>
      <c r="P87" s="274">
        <v>1120.3140000000001</v>
      </c>
      <c r="Q87" s="274">
        <v>1144.896</v>
      </c>
      <c r="R87" s="274">
        <v>1170.2670000000001</v>
      </c>
      <c r="S87" s="274">
        <v>1196.588</v>
      </c>
      <c r="T87" s="274">
        <v>1224.0940000000001</v>
      </c>
      <c r="U87" s="274">
        <v>1252.9680000000001</v>
      </c>
      <c r="V87" s="274">
        <v>1283.3040000000001</v>
      </c>
      <c r="W87" s="274">
        <v>1315.1189999999999</v>
      </c>
      <c r="X87" s="274">
        <v>1348.4480000000001</v>
      </c>
      <c r="Y87" s="274">
        <v>1383.3050000000001</v>
      </c>
      <c r="Z87" s="274">
        <v>1419.7280000000001</v>
      </c>
      <c r="AA87" s="274">
        <v>1457.7139999999999</v>
      </c>
      <c r="AB87" s="274">
        <v>1497.356</v>
      </c>
      <c r="AC87" s="274">
        <v>1538.8820000000001</v>
      </c>
      <c r="AD87" s="274">
        <v>1582.5840000000001</v>
      </c>
      <c r="AE87" s="274">
        <v>1628.6559999999999</v>
      </c>
      <c r="AF87" s="274">
        <v>1676.0160000000001</v>
      </c>
      <c r="AG87" s="274">
        <v>1724.3130000000001</v>
      </c>
      <c r="AH87" s="274">
        <v>1775.2</v>
      </c>
      <c r="AI87" s="274">
        <v>1830.963</v>
      </c>
      <c r="AJ87" s="274">
        <v>1892.529</v>
      </c>
      <c r="AK87" s="274">
        <v>1961.7950000000001</v>
      </c>
      <c r="AL87" s="274">
        <v>2036.325</v>
      </c>
      <c r="AM87" s="274">
        <v>2107.5230000000001</v>
      </c>
      <c r="AN87" s="274">
        <v>2163.835</v>
      </c>
      <c r="AO87" s="274">
        <v>2197.442</v>
      </c>
      <c r="AP87" s="274">
        <v>2206.8670000000002</v>
      </c>
      <c r="AQ87" s="274">
        <v>2196.2040000000002</v>
      </c>
      <c r="AR87" s="274">
        <v>2170.4259999999999</v>
      </c>
      <c r="AS87" s="274">
        <v>2137.018</v>
      </c>
      <c r="AT87" s="274">
        <v>2102.877</v>
      </c>
      <c r="AU87" s="274">
        <v>2066.06</v>
      </c>
      <c r="AV87" s="274">
        <v>2028.672</v>
      </c>
      <c r="AW87" s="274">
        <v>2006.3489999999999</v>
      </c>
      <c r="AX87" s="274">
        <v>2019.1479999999999</v>
      </c>
      <c r="AY87" s="274">
        <v>2079.9209999999998</v>
      </c>
      <c r="AZ87" s="274">
        <v>2197.8009999999999</v>
      </c>
      <c r="BA87" s="274">
        <v>2365.29</v>
      </c>
      <c r="BB87" s="274">
        <v>2558.085</v>
      </c>
      <c r="BC87" s="274">
        <v>2741.7550000000001</v>
      </c>
      <c r="BD87" s="274">
        <v>2891.9679999999998</v>
      </c>
      <c r="BE87" s="274">
        <v>2998.77</v>
      </c>
      <c r="BF87" s="274">
        <v>3070.6729999999998</v>
      </c>
      <c r="BG87" s="274">
        <v>3124.2220000000002</v>
      </c>
      <c r="BH87" s="274">
        <v>3184.643</v>
      </c>
      <c r="BI87" s="274">
        <v>3269.7860000000001</v>
      </c>
      <c r="BJ87" s="274">
        <v>3384.8040000000001</v>
      </c>
      <c r="BK87" s="274">
        <v>3522.337</v>
      </c>
      <c r="BL87" s="274">
        <v>3672.7820000000002</v>
      </c>
      <c r="BM87" s="274">
        <v>3821.498</v>
      </c>
      <c r="BN87" s="274">
        <v>3957.99</v>
      </c>
      <c r="BO87" s="274">
        <v>4079.5740000000001</v>
      </c>
      <c r="BP87" s="274">
        <v>4190.1549999999997</v>
      </c>
      <c r="BQ87" s="274">
        <v>4293.692</v>
      </c>
      <c r="BR87" s="274">
        <v>4396.5540000000001</v>
      </c>
      <c r="BS87" s="274">
        <v>4503.4380000000001</v>
      </c>
    </row>
    <row r="88" spans="1:71" x14ac:dyDescent="0.4">
      <c r="A88" s="270">
        <v>69</v>
      </c>
      <c r="B88" s="271" t="s">
        <v>890</v>
      </c>
      <c r="C88" s="276" t="s">
        <v>562</v>
      </c>
      <c r="D88" s="273"/>
      <c r="E88" s="273">
        <v>466</v>
      </c>
      <c r="F88" s="274">
        <v>4708.4250000000002</v>
      </c>
      <c r="G88" s="274">
        <v>4759.0389999999998</v>
      </c>
      <c r="H88" s="274">
        <v>4811.1980000000003</v>
      </c>
      <c r="I88" s="274">
        <v>4864.7539999999999</v>
      </c>
      <c r="J88" s="274">
        <v>4919.5469999999996</v>
      </c>
      <c r="K88" s="274">
        <v>4975.4009999999998</v>
      </c>
      <c r="L88" s="274">
        <v>5032.1239999999998</v>
      </c>
      <c r="M88" s="274">
        <v>5089.5069999999996</v>
      </c>
      <c r="N88" s="274">
        <v>5147.3440000000001</v>
      </c>
      <c r="O88" s="274">
        <v>5205.4480000000003</v>
      </c>
      <c r="P88" s="274">
        <v>5263.73</v>
      </c>
      <c r="Q88" s="274">
        <v>5322.2669999999998</v>
      </c>
      <c r="R88" s="274">
        <v>5381.3689999999997</v>
      </c>
      <c r="S88" s="274">
        <v>5441.6109999999999</v>
      </c>
      <c r="T88" s="274">
        <v>5503.7479999999996</v>
      </c>
      <c r="U88" s="274">
        <v>5568.4849999999997</v>
      </c>
      <c r="V88" s="274">
        <v>5635.8590000000004</v>
      </c>
      <c r="W88" s="274">
        <v>5706.1980000000003</v>
      </c>
      <c r="X88" s="274">
        <v>5780.8339999999998</v>
      </c>
      <c r="Y88" s="274">
        <v>5861.4110000000001</v>
      </c>
      <c r="Z88" s="274">
        <v>5949.0429999999997</v>
      </c>
      <c r="AA88" s="274">
        <v>6044.5320000000002</v>
      </c>
      <c r="AB88" s="274">
        <v>6147.4589999999998</v>
      </c>
      <c r="AC88" s="274">
        <v>6256.192</v>
      </c>
      <c r="AD88" s="274">
        <v>6368.3509999999997</v>
      </c>
      <c r="AE88" s="274">
        <v>6482.2759999999998</v>
      </c>
      <c r="AF88" s="274">
        <v>6596.817</v>
      </c>
      <c r="AG88" s="274">
        <v>6712.5450000000001</v>
      </c>
      <c r="AH88" s="274">
        <v>6831.53</v>
      </c>
      <c r="AI88" s="274">
        <v>6956.7790000000005</v>
      </c>
      <c r="AJ88" s="274">
        <v>7090.125</v>
      </c>
      <c r="AK88" s="274">
        <v>7233.8770000000004</v>
      </c>
      <c r="AL88" s="274">
        <v>7386.6689999999999</v>
      </c>
      <c r="AM88" s="274">
        <v>7542.3770000000004</v>
      </c>
      <c r="AN88" s="274">
        <v>7692.5370000000003</v>
      </c>
      <c r="AO88" s="274">
        <v>7831.8909999999996</v>
      </c>
      <c r="AP88" s="274">
        <v>7957.39</v>
      </c>
      <c r="AQ88" s="274">
        <v>8073.1779999999999</v>
      </c>
      <c r="AR88" s="274">
        <v>8189.9840000000004</v>
      </c>
      <c r="AS88" s="274">
        <v>8322.7260000000006</v>
      </c>
      <c r="AT88" s="274">
        <v>8482.0750000000007</v>
      </c>
      <c r="AU88" s="274">
        <v>8672.5810000000001</v>
      </c>
      <c r="AV88" s="274">
        <v>8891.1409999999996</v>
      </c>
      <c r="AW88" s="274">
        <v>9131.4490000000005</v>
      </c>
      <c r="AX88" s="274">
        <v>9383.6080000000002</v>
      </c>
      <c r="AY88" s="274">
        <v>9640.643</v>
      </c>
      <c r="AZ88" s="274">
        <v>9901.0450000000001</v>
      </c>
      <c r="BA88" s="274">
        <v>10168</v>
      </c>
      <c r="BB88" s="274">
        <v>10444.822</v>
      </c>
      <c r="BC88" s="274">
        <v>10736.541999999999</v>
      </c>
      <c r="BD88" s="274">
        <v>11046.925999999999</v>
      </c>
      <c r="BE88" s="274">
        <v>11376.093999999999</v>
      </c>
      <c r="BF88" s="274">
        <v>11723.017</v>
      </c>
      <c r="BG88" s="274">
        <v>12088.867</v>
      </c>
      <c r="BH88" s="274">
        <v>12474.857</v>
      </c>
      <c r="BI88" s="274">
        <v>12881.384</v>
      </c>
      <c r="BJ88" s="274">
        <v>13309.941999999999</v>
      </c>
      <c r="BK88" s="274">
        <v>13759.226000000001</v>
      </c>
      <c r="BL88" s="274">
        <v>14223.403</v>
      </c>
      <c r="BM88" s="274">
        <v>14694.565000000001</v>
      </c>
      <c r="BN88" s="274">
        <v>15167.286</v>
      </c>
      <c r="BO88" s="274">
        <v>15639.115</v>
      </c>
      <c r="BP88" s="274">
        <v>16112.333000000001</v>
      </c>
      <c r="BQ88" s="274">
        <v>16592.097000000002</v>
      </c>
      <c r="BR88" s="274">
        <v>17086.022000000001</v>
      </c>
      <c r="BS88" s="274">
        <v>17599.694</v>
      </c>
    </row>
    <row r="89" spans="1:71" x14ac:dyDescent="0.4">
      <c r="A89" s="270">
        <v>70</v>
      </c>
      <c r="B89" s="271" t="s">
        <v>890</v>
      </c>
      <c r="C89" s="276" t="s">
        <v>570</v>
      </c>
      <c r="D89" s="273"/>
      <c r="E89" s="273">
        <v>478</v>
      </c>
      <c r="F89" s="274">
        <v>660.49099999999999</v>
      </c>
      <c r="G89" s="274">
        <v>675.59400000000005</v>
      </c>
      <c r="H89" s="274">
        <v>691.80700000000002</v>
      </c>
      <c r="I89" s="274">
        <v>709.09799999999996</v>
      </c>
      <c r="J89" s="274">
        <v>727.44</v>
      </c>
      <c r="K89" s="274">
        <v>746.80399999999997</v>
      </c>
      <c r="L89" s="274">
        <v>767.16600000000005</v>
      </c>
      <c r="M89" s="274">
        <v>788.50400000000002</v>
      </c>
      <c r="N89" s="274">
        <v>810.79600000000005</v>
      </c>
      <c r="O89" s="274">
        <v>834.024</v>
      </c>
      <c r="P89" s="274">
        <v>858.17</v>
      </c>
      <c r="Q89" s="274">
        <v>883.22299999999996</v>
      </c>
      <c r="R89" s="274">
        <v>909.17200000000003</v>
      </c>
      <c r="S89" s="274">
        <v>936.01400000000001</v>
      </c>
      <c r="T89" s="274">
        <v>963.74599999999998</v>
      </c>
      <c r="U89" s="274">
        <v>992.36800000000005</v>
      </c>
      <c r="V89" s="274">
        <v>1021.88</v>
      </c>
      <c r="W89" s="274">
        <v>1052.2850000000001</v>
      </c>
      <c r="X89" s="274">
        <v>1083.586</v>
      </c>
      <c r="Y89" s="274">
        <v>1115.79</v>
      </c>
      <c r="Z89" s="274">
        <v>1148.9079999999999</v>
      </c>
      <c r="AA89" s="274">
        <v>1182.9449999999999</v>
      </c>
      <c r="AB89" s="274">
        <v>1217.912</v>
      </c>
      <c r="AC89" s="274">
        <v>1253.8389999999999</v>
      </c>
      <c r="AD89" s="274">
        <v>1290.7550000000001</v>
      </c>
      <c r="AE89" s="274">
        <v>1328.6869999999999</v>
      </c>
      <c r="AF89" s="274">
        <v>1367.64</v>
      </c>
      <c r="AG89" s="274">
        <v>1407.6210000000001</v>
      </c>
      <c r="AH89" s="274">
        <v>1448.664</v>
      </c>
      <c r="AI89" s="274">
        <v>1490.8109999999999</v>
      </c>
      <c r="AJ89" s="274">
        <v>1534.085</v>
      </c>
      <c r="AK89" s="274">
        <v>1578.585</v>
      </c>
      <c r="AL89" s="274">
        <v>1624.31</v>
      </c>
      <c r="AM89" s="274">
        <v>1671.08</v>
      </c>
      <c r="AN89" s="274">
        <v>1718.6410000000001</v>
      </c>
      <c r="AO89" s="274">
        <v>1766.855</v>
      </c>
      <c r="AP89" s="274">
        <v>1815.692</v>
      </c>
      <c r="AQ89" s="274">
        <v>1865.356</v>
      </c>
      <c r="AR89" s="274">
        <v>1916.24</v>
      </c>
      <c r="AS89" s="274">
        <v>1968.87</v>
      </c>
      <c r="AT89" s="274">
        <v>2023.665</v>
      </c>
      <c r="AU89" s="274">
        <v>2080.7820000000002</v>
      </c>
      <c r="AV89" s="274">
        <v>2140.25</v>
      </c>
      <c r="AW89" s="274">
        <v>2202.201</v>
      </c>
      <c r="AX89" s="274">
        <v>2266.7449999999999</v>
      </c>
      <c r="AY89" s="274">
        <v>2333.9659999999999</v>
      </c>
      <c r="AZ89" s="274">
        <v>2403.779</v>
      </c>
      <c r="BA89" s="274">
        <v>2476.1880000000001</v>
      </c>
      <c r="BB89" s="274">
        <v>2551.4290000000001</v>
      </c>
      <c r="BC89" s="274">
        <v>2629.806</v>
      </c>
      <c r="BD89" s="274">
        <v>2711.4209999999998</v>
      </c>
      <c r="BE89" s="274">
        <v>2796.502</v>
      </c>
      <c r="BF89" s="274">
        <v>2884.672</v>
      </c>
      <c r="BG89" s="274">
        <v>2974.6860000000001</v>
      </c>
      <c r="BH89" s="274">
        <v>3064.8820000000001</v>
      </c>
      <c r="BI89" s="274">
        <v>3154.087</v>
      </c>
      <c r="BJ89" s="274">
        <v>3241.7620000000002</v>
      </c>
      <c r="BK89" s="274">
        <v>3328.2849999999999</v>
      </c>
      <c r="BL89" s="274">
        <v>3414.5520000000001</v>
      </c>
      <c r="BM89" s="274">
        <v>3501.9270000000001</v>
      </c>
      <c r="BN89" s="274">
        <v>3591.4</v>
      </c>
      <c r="BO89" s="274">
        <v>3683.221</v>
      </c>
      <c r="BP89" s="274">
        <v>3777.067</v>
      </c>
      <c r="BQ89" s="274">
        <v>3872.6840000000002</v>
      </c>
      <c r="BR89" s="274">
        <v>3969.625</v>
      </c>
      <c r="BS89" s="274">
        <v>4067.5639999999999</v>
      </c>
    </row>
    <row r="90" spans="1:71" x14ac:dyDescent="0.4">
      <c r="A90" s="270">
        <v>71</v>
      </c>
      <c r="B90" s="271" t="s">
        <v>890</v>
      </c>
      <c r="C90" s="276" t="s">
        <v>622</v>
      </c>
      <c r="D90" s="273"/>
      <c r="E90" s="273">
        <v>562</v>
      </c>
      <c r="F90" s="274">
        <v>2559.703</v>
      </c>
      <c r="G90" s="274">
        <v>2637.5819999999999</v>
      </c>
      <c r="H90" s="274">
        <v>2717.047</v>
      </c>
      <c r="I90" s="274">
        <v>2797.4349999999999</v>
      </c>
      <c r="J90" s="274">
        <v>2878.395</v>
      </c>
      <c r="K90" s="274">
        <v>2959.8960000000002</v>
      </c>
      <c r="L90" s="274">
        <v>3042.2310000000002</v>
      </c>
      <c r="M90" s="274">
        <v>3126.01</v>
      </c>
      <c r="N90" s="274">
        <v>3212.1010000000001</v>
      </c>
      <c r="O90" s="274">
        <v>3301.5309999999999</v>
      </c>
      <c r="P90" s="274">
        <v>3395.212</v>
      </c>
      <c r="Q90" s="274">
        <v>3493.636</v>
      </c>
      <c r="R90" s="274">
        <v>3596.6129999999998</v>
      </c>
      <c r="S90" s="274">
        <v>3703.1590000000001</v>
      </c>
      <c r="T90" s="274">
        <v>3811.8130000000001</v>
      </c>
      <c r="U90" s="274">
        <v>3921.5810000000001</v>
      </c>
      <c r="V90" s="274">
        <v>4032.21</v>
      </c>
      <c r="W90" s="274">
        <v>4144.2380000000003</v>
      </c>
      <c r="X90" s="274">
        <v>4258.415</v>
      </c>
      <c r="Y90" s="274">
        <v>4375.8370000000004</v>
      </c>
      <c r="Z90" s="274">
        <v>4497.3549999999996</v>
      </c>
      <c r="AA90" s="274">
        <v>4623.1210000000001</v>
      </c>
      <c r="AB90" s="274">
        <v>4753.0540000000001</v>
      </c>
      <c r="AC90" s="274">
        <v>4887.4840000000004</v>
      </c>
      <c r="AD90" s="274">
        <v>5026.7439999999997</v>
      </c>
      <c r="AE90" s="274">
        <v>5171.0290000000005</v>
      </c>
      <c r="AF90" s="274">
        <v>5320.8689999999997</v>
      </c>
      <c r="AG90" s="274">
        <v>5476.2060000000001</v>
      </c>
      <c r="AH90" s="274">
        <v>5635.9539999999997</v>
      </c>
      <c r="AI90" s="274">
        <v>5798.5839999999998</v>
      </c>
      <c r="AJ90" s="274">
        <v>5963.1589999999997</v>
      </c>
      <c r="AK90" s="274">
        <v>6129.7619999999997</v>
      </c>
      <c r="AL90" s="274">
        <v>6299.3429999999998</v>
      </c>
      <c r="AM90" s="274">
        <v>6472.9709999999995</v>
      </c>
      <c r="AN90" s="274">
        <v>6652.11</v>
      </c>
      <c r="AO90" s="274">
        <v>6838.17</v>
      </c>
      <c r="AP90" s="274">
        <v>7031.6750000000002</v>
      </c>
      <c r="AQ90" s="274">
        <v>7233.482</v>
      </c>
      <c r="AR90" s="274">
        <v>7445.7879999999996</v>
      </c>
      <c r="AS90" s="274">
        <v>7671.2330000000002</v>
      </c>
      <c r="AT90" s="274">
        <v>7911.884</v>
      </c>
      <c r="AU90" s="274">
        <v>8168.8339999999998</v>
      </c>
      <c r="AV90" s="274">
        <v>8442.33</v>
      </c>
      <c r="AW90" s="274">
        <v>8732.5</v>
      </c>
      <c r="AX90" s="274">
        <v>9039.0879999999997</v>
      </c>
      <c r="AY90" s="274">
        <v>9361.9120000000003</v>
      </c>
      <c r="AZ90" s="274">
        <v>9701.73</v>
      </c>
      <c r="BA90" s="274">
        <v>10058.959999999999</v>
      </c>
      <c r="BB90" s="274">
        <v>10432.656999999999</v>
      </c>
      <c r="BC90" s="274">
        <v>10821.433999999999</v>
      </c>
      <c r="BD90" s="274">
        <v>11224.522999999999</v>
      </c>
      <c r="BE90" s="274">
        <v>11642.308000000001</v>
      </c>
      <c r="BF90" s="274">
        <v>12075.991</v>
      </c>
      <c r="BG90" s="274">
        <v>12526.725</v>
      </c>
      <c r="BH90" s="274">
        <v>12996.012000000001</v>
      </c>
      <c r="BI90" s="274">
        <v>13485.436</v>
      </c>
      <c r="BJ90" s="274">
        <v>13995.53</v>
      </c>
      <c r="BK90" s="274">
        <v>14527.630999999999</v>
      </c>
      <c r="BL90" s="274">
        <v>15085.13</v>
      </c>
      <c r="BM90" s="274">
        <v>15672.194</v>
      </c>
      <c r="BN90" s="274">
        <v>16291.99</v>
      </c>
      <c r="BO90" s="274">
        <v>16946.485000000001</v>
      </c>
      <c r="BP90" s="274">
        <v>17635.781999999999</v>
      </c>
      <c r="BQ90" s="274">
        <v>18358.863000000001</v>
      </c>
      <c r="BR90" s="274">
        <v>19113.727999999999</v>
      </c>
      <c r="BS90" s="274">
        <v>19899.12</v>
      </c>
    </row>
    <row r="91" spans="1:71" x14ac:dyDescent="0.4">
      <c r="A91" s="270">
        <v>72</v>
      </c>
      <c r="B91" s="271" t="s">
        <v>890</v>
      </c>
      <c r="C91" s="276" t="s">
        <v>624</v>
      </c>
      <c r="D91" s="273"/>
      <c r="E91" s="273">
        <v>566</v>
      </c>
      <c r="F91" s="274">
        <v>37859.745000000003</v>
      </c>
      <c r="G91" s="274">
        <v>38431.322999999997</v>
      </c>
      <c r="H91" s="274">
        <v>39049.830999999998</v>
      </c>
      <c r="I91" s="274">
        <v>39707.796000000002</v>
      </c>
      <c r="J91" s="274">
        <v>40399.771000000001</v>
      </c>
      <c r="K91" s="274">
        <v>41122.332999999999</v>
      </c>
      <c r="L91" s="274">
        <v>41874.186000000002</v>
      </c>
      <c r="M91" s="274">
        <v>42656.057999999997</v>
      </c>
      <c r="N91" s="274">
        <v>43470.428999999996</v>
      </c>
      <c r="O91" s="274">
        <v>44321.061000000002</v>
      </c>
      <c r="P91" s="274">
        <v>45211.614000000001</v>
      </c>
      <c r="Q91" s="274">
        <v>46144.154000000002</v>
      </c>
      <c r="R91" s="274">
        <v>47117.858999999997</v>
      </c>
      <c r="S91" s="274">
        <v>48128.46</v>
      </c>
      <c r="T91" s="274">
        <v>49169.819000000003</v>
      </c>
      <c r="U91" s="274">
        <v>50238.569000000003</v>
      </c>
      <c r="V91" s="274">
        <v>51336.375</v>
      </c>
      <c r="W91" s="274">
        <v>52468.593000000001</v>
      </c>
      <c r="X91" s="274">
        <v>53640.546999999999</v>
      </c>
      <c r="Y91" s="274">
        <v>54859.201000000001</v>
      </c>
      <c r="Z91" s="274">
        <v>56131.843999999997</v>
      </c>
      <c r="AA91" s="274">
        <v>57453.733999999997</v>
      </c>
      <c r="AB91" s="274">
        <v>58829.319000000003</v>
      </c>
      <c r="AC91" s="274">
        <v>60285.453000000001</v>
      </c>
      <c r="AD91" s="274">
        <v>61857.023000000001</v>
      </c>
      <c r="AE91" s="274">
        <v>63565.597999999998</v>
      </c>
      <c r="AF91" s="274">
        <v>65426.976000000002</v>
      </c>
      <c r="AG91" s="274">
        <v>67425.434999999998</v>
      </c>
      <c r="AH91" s="274">
        <v>69512.232999999993</v>
      </c>
      <c r="AI91" s="274">
        <v>71619.216</v>
      </c>
      <c r="AJ91" s="274">
        <v>73698.096000000005</v>
      </c>
      <c r="AK91" s="274">
        <v>75729.572</v>
      </c>
      <c r="AL91" s="274">
        <v>77729.801999999996</v>
      </c>
      <c r="AM91" s="274">
        <v>79729.311000000002</v>
      </c>
      <c r="AN91" s="274">
        <v>81775.214999999997</v>
      </c>
      <c r="AO91" s="274">
        <v>83901.57</v>
      </c>
      <c r="AP91" s="274">
        <v>86118.043000000005</v>
      </c>
      <c r="AQ91" s="274">
        <v>88412.917000000001</v>
      </c>
      <c r="AR91" s="274">
        <v>90773.612999999998</v>
      </c>
      <c r="AS91" s="274">
        <v>93179.755000000005</v>
      </c>
      <c r="AT91" s="274">
        <v>95617.345000000001</v>
      </c>
      <c r="AU91" s="274">
        <v>98085.436000000002</v>
      </c>
      <c r="AV91" s="274">
        <v>100592.458</v>
      </c>
      <c r="AW91" s="274">
        <v>103145.09299999999</v>
      </c>
      <c r="AX91" s="274">
        <v>105753.088</v>
      </c>
      <c r="AY91" s="274">
        <v>108424.822</v>
      </c>
      <c r="AZ91" s="274">
        <v>111164.651</v>
      </c>
      <c r="BA91" s="274">
        <v>113975.05499999999</v>
      </c>
      <c r="BB91" s="274">
        <v>116860.69100000001</v>
      </c>
      <c r="BC91" s="274">
        <v>119826.231</v>
      </c>
      <c r="BD91" s="274">
        <v>122876.723</v>
      </c>
      <c r="BE91" s="274">
        <v>126014.935</v>
      </c>
      <c r="BF91" s="274">
        <v>129246.283</v>
      </c>
      <c r="BG91" s="274">
        <v>132581.484</v>
      </c>
      <c r="BH91" s="274">
        <v>136033.321</v>
      </c>
      <c r="BI91" s="274">
        <v>139611.30300000001</v>
      </c>
      <c r="BJ91" s="274">
        <v>143318.011</v>
      </c>
      <c r="BK91" s="274">
        <v>147152.50200000001</v>
      </c>
      <c r="BL91" s="274">
        <v>151115.68299999999</v>
      </c>
      <c r="BM91" s="274">
        <v>155207.14499999999</v>
      </c>
      <c r="BN91" s="274">
        <v>159424.742</v>
      </c>
      <c r="BO91" s="274">
        <v>163770.66899999999</v>
      </c>
      <c r="BP91" s="274">
        <v>168240.40299999999</v>
      </c>
      <c r="BQ91" s="274">
        <v>172816.51699999999</v>
      </c>
      <c r="BR91" s="274">
        <v>177475.986</v>
      </c>
      <c r="BS91" s="274">
        <v>182201.962</v>
      </c>
    </row>
    <row r="92" spans="1:71" x14ac:dyDescent="0.4">
      <c r="A92" s="270">
        <v>73</v>
      </c>
      <c r="B92" s="271" t="s">
        <v>890</v>
      </c>
      <c r="C92" s="276" t="s">
        <v>919</v>
      </c>
      <c r="D92" s="273">
        <v>3</v>
      </c>
      <c r="E92" s="273">
        <v>654</v>
      </c>
      <c r="F92" s="274">
        <v>4.9720000000000004</v>
      </c>
      <c r="G92" s="274">
        <v>5.01</v>
      </c>
      <c r="H92" s="274">
        <v>5.0179999999999998</v>
      </c>
      <c r="I92" s="274">
        <v>5.0049999999999999</v>
      </c>
      <c r="J92" s="274">
        <v>4.9800000000000004</v>
      </c>
      <c r="K92" s="274">
        <v>4.9459999999999997</v>
      </c>
      <c r="L92" s="274">
        <v>4.9089999999999998</v>
      </c>
      <c r="M92" s="274">
        <v>4.87</v>
      </c>
      <c r="N92" s="274">
        <v>4.8310000000000004</v>
      </c>
      <c r="O92" s="274">
        <v>4.7910000000000004</v>
      </c>
      <c r="P92" s="274">
        <v>4.75</v>
      </c>
      <c r="Q92" s="274">
        <v>4.7080000000000002</v>
      </c>
      <c r="R92" s="274">
        <v>4.67</v>
      </c>
      <c r="S92" s="274">
        <v>4.6399999999999997</v>
      </c>
      <c r="T92" s="274">
        <v>4.6230000000000002</v>
      </c>
      <c r="U92" s="274">
        <v>4.6269999999999998</v>
      </c>
      <c r="V92" s="274">
        <v>4.6520000000000001</v>
      </c>
      <c r="W92" s="274">
        <v>4.6959999999999997</v>
      </c>
      <c r="X92" s="274">
        <v>4.7539999999999996</v>
      </c>
      <c r="Y92" s="274">
        <v>4.82</v>
      </c>
      <c r="Z92" s="274">
        <v>4.8849999999999998</v>
      </c>
      <c r="AA92" s="274">
        <v>4.95</v>
      </c>
      <c r="AB92" s="274">
        <v>5.0140000000000002</v>
      </c>
      <c r="AC92" s="274">
        <v>5.0759999999999996</v>
      </c>
      <c r="AD92" s="274">
        <v>5.1310000000000002</v>
      </c>
      <c r="AE92" s="274">
        <v>5.1779999999999999</v>
      </c>
      <c r="AF92" s="274">
        <v>5.2149999999999999</v>
      </c>
      <c r="AG92" s="274">
        <v>5.242</v>
      </c>
      <c r="AH92" s="274">
        <v>5.2640000000000002</v>
      </c>
      <c r="AI92" s="274">
        <v>5.2910000000000004</v>
      </c>
      <c r="AJ92" s="274">
        <v>5.3289999999999997</v>
      </c>
      <c r="AK92" s="274">
        <v>5.3789999999999996</v>
      </c>
      <c r="AL92" s="274">
        <v>5.4379999999999997</v>
      </c>
      <c r="AM92" s="274">
        <v>5.4989999999999997</v>
      </c>
      <c r="AN92" s="274">
        <v>5.5510000000000002</v>
      </c>
      <c r="AO92" s="274">
        <v>5.5860000000000003</v>
      </c>
      <c r="AP92" s="274">
        <v>5.6029999999999998</v>
      </c>
      <c r="AQ92" s="274">
        <v>5.6029999999999998</v>
      </c>
      <c r="AR92" s="274">
        <v>5.5890000000000004</v>
      </c>
      <c r="AS92" s="274">
        <v>5.5640000000000001</v>
      </c>
      <c r="AT92" s="274">
        <v>5.5309999999999997</v>
      </c>
      <c r="AU92" s="274">
        <v>5.4880000000000004</v>
      </c>
      <c r="AV92" s="274">
        <v>5.4349999999999996</v>
      </c>
      <c r="AW92" s="274">
        <v>5.3780000000000001</v>
      </c>
      <c r="AX92" s="274">
        <v>5.3280000000000003</v>
      </c>
      <c r="AY92" s="274">
        <v>5.2869999999999999</v>
      </c>
      <c r="AZ92" s="274">
        <v>5.2640000000000002</v>
      </c>
      <c r="BA92" s="274">
        <v>5.2549999999999999</v>
      </c>
      <c r="BB92" s="274">
        <v>5.242</v>
      </c>
      <c r="BC92" s="274">
        <v>5.1989999999999998</v>
      </c>
      <c r="BD92" s="274">
        <v>5.1130000000000004</v>
      </c>
      <c r="BE92" s="274">
        <v>4.9720000000000004</v>
      </c>
      <c r="BF92" s="274">
        <v>4.7880000000000003</v>
      </c>
      <c r="BG92" s="274">
        <v>4.5869999999999997</v>
      </c>
      <c r="BH92" s="274">
        <v>4.4080000000000004</v>
      </c>
      <c r="BI92" s="274">
        <v>4.274</v>
      </c>
      <c r="BJ92" s="274">
        <v>4.1989999999999998</v>
      </c>
      <c r="BK92" s="274">
        <v>4.173</v>
      </c>
      <c r="BL92" s="274">
        <v>4.1769999999999996</v>
      </c>
      <c r="BM92" s="274">
        <v>4.1840000000000002</v>
      </c>
      <c r="BN92" s="274">
        <v>4.173</v>
      </c>
      <c r="BO92" s="274">
        <v>4.1390000000000002</v>
      </c>
      <c r="BP92" s="274">
        <v>4.09</v>
      </c>
      <c r="BQ92" s="274">
        <v>4.0339999999999998</v>
      </c>
      <c r="BR92" s="274">
        <v>3.9870000000000001</v>
      </c>
      <c r="BS92" s="274">
        <v>3.9609999999999999</v>
      </c>
    </row>
    <row r="93" spans="1:71" x14ac:dyDescent="0.4">
      <c r="A93" s="270">
        <v>74</v>
      </c>
      <c r="B93" s="271" t="s">
        <v>890</v>
      </c>
      <c r="C93" s="276" t="s">
        <v>713</v>
      </c>
      <c r="D93" s="273"/>
      <c r="E93" s="273">
        <v>686</v>
      </c>
      <c r="F93" s="274">
        <v>2476.6379999999999</v>
      </c>
      <c r="G93" s="274">
        <v>2529.6990000000001</v>
      </c>
      <c r="H93" s="274">
        <v>2586.817</v>
      </c>
      <c r="I93" s="274">
        <v>2647.9549999999999</v>
      </c>
      <c r="J93" s="274">
        <v>2713.038</v>
      </c>
      <c r="K93" s="274">
        <v>2781.9549999999999</v>
      </c>
      <c r="L93" s="274">
        <v>2854.549</v>
      </c>
      <c r="M93" s="274">
        <v>2930.627</v>
      </c>
      <c r="N93" s="274">
        <v>3009.9659999999999</v>
      </c>
      <c r="O93" s="274">
        <v>3092.3380000000002</v>
      </c>
      <c r="P93" s="274">
        <v>3177.56</v>
      </c>
      <c r="Q93" s="274">
        <v>3265.558</v>
      </c>
      <c r="R93" s="274">
        <v>3356.4209999999998</v>
      </c>
      <c r="S93" s="274">
        <v>3450.4180000000001</v>
      </c>
      <c r="T93" s="274">
        <v>3547.9389999999999</v>
      </c>
      <c r="U93" s="274">
        <v>3649.308</v>
      </c>
      <c r="V93" s="274">
        <v>3754.268</v>
      </c>
      <c r="W93" s="274">
        <v>3862.7829999999999</v>
      </c>
      <c r="X93" s="274">
        <v>3975.614</v>
      </c>
      <c r="Y93" s="274">
        <v>4093.7629999999999</v>
      </c>
      <c r="Z93" s="274">
        <v>4217.7539999999999</v>
      </c>
      <c r="AA93" s="274">
        <v>4348.4989999999998</v>
      </c>
      <c r="AB93" s="274">
        <v>4485.3419999999996</v>
      </c>
      <c r="AC93" s="274">
        <v>4625.3770000000004</v>
      </c>
      <c r="AD93" s="274">
        <v>4764.6229999999996</v>
      </c>
      <c r="AE93" s="274">
        <v>4900.491</v>
      </c>
      <c r="AF93" s="274">
        <v>5031.8490000000002</v>
      </c>
      <c r="AG93" s="274">
        <v>5160.3130000000001</v>
      </c>
      <c r="AH93" s="274">
        <v>5289.4449999999997</v>
      </c>
      <c r="AI93" s="274">
        <v>5424.299</v>
      </c>
      <c r="AJ93" s="274">
        <v>5568.6509999999998</v>
      </c>
      <c r="AK93" s="274">
        <v>5723.5410000000002</v>
      </c>
      <c r="AL93" s="274">
        <v>5888.2610000000004</v>
      </c>
      <c r="AM93" s="274">
        <v>6062.6819999999998</v>
      </c>
      <c r="AN93" s="274">
        <v>6246.14</v>
      </c>
      <c r="AO93" s="274">
        <v>6438.0240000000003</v>
      </c>
      <c r="AP93" s="274">
        <v>6638.1859999999997</v>
      </c>
      <c r="AQ93" s="274">
        <v>6846.5559999999996</v>
      </c>
      <c r="AR93" s="274">
        <v>7062.54</v>
      </c>
      <c r="AS93" s="274">
        <v>7285.3779999999997</v>
      </c>
      <c r="AT93" s="274">
        <v>7514.201</v>
      </c>
      <c r="AU93" s="274">
        <v>7749.5590000000002</v>
      </c>
      <c r="AV93" s="274">
        <v>7990.7359999999999</v>
      </c>
      <c r="AW93" s="274">
        <v>8234.1470000000008</v>
      </c>
      <c r="AX93" s="274">
        <v>8475.1360000000004</v>
      </c>
      <c r="AY93" s="274">
        <v>8710.7459999999992</v>
      </c>
      <c r="AZ93" s="274">
        <v>8939.4380000000001</v>
      </c>
      <c r="BA93" s="274">
        <v>9163.1839999999993</v>
      </c>
      <c r="BB93" s="274">
        <v>9386.9230000000007</v>
      </c>
      <c r="BC93" s="274">
        <v>9617.6409999999996</v>
      </c>
      <c r="BD93" s="274">
        <v>9860.5779999999995</v>
      </c>
      <c r="BE93" s="274">
        <v>10118.078</v>
      </c>
      <c r="BF93" s="274">
        <v>10389.457</v>
      </c>
      <c r="BG93" s="274">
        <v>10673.32</v>
      </c>
      <c r="BH93" s="274">
        <v>10967.016</v>
      </c>
      <c r="BI93" s="274">
        <v>11268.994000000001</v>
      </c>
      <c r="BJ93" s="274">
        <v>11578.43</v>
      </c>
      <c r="BK93" s="274">
        <v>11897.23</v>
      </c>
      <c r="BL93" s="274">
        <v>12229.703</v>
      </c>
      <c r="BM93" s="274">
        <v>12581.624</v>
      </c>
      <c r="BN93" s="274">
        <v>12956.790999999999</v>
      </c>
      <c r="BO93" s="274">
        <v>13357.003000000001</v>
      </c>
      <c r="BP93" s="274">
        <v>13780.108</v>
      </c>
      <c r="BQ93" s="274">
        <v>14221.040999999999</v>
      </c>
      <c r="BR93" s="274">
        <v>14672.557000000001</v>
      </c>
      <c r="BS93" s="274">
        <v>15129.272999999999</v>
      </c>
    </row>
    <row r="94" spans="1:71" x14ac:dyDescent="0.4">
      <c r="A94" s="270">
        <v>75</v>
      </c>
      <c r="B94" s="271" t="s">
        <v>890</v>
      </c>
      <c r="C94" s="276" t="s">
        <v>723</v>
      </c>
      <c r="D94" s="273"/>
      <c r="E94" s="273">
        <v>694</v>
      </c>
      <c r="F94" s="274">
        <v>1944.001</v>
      </c>
      <c r="G94" s="274">
        <v>1962.818</v>
      </c>
      <c r="H94" s="274">
        <v>1983.3209999999999</v>
      </c>
      <c r="I94" s="274">
        <v>2005.162</v>
      </c>
      <c r="J94" s="274">
        <v>2028.07</v>
      </c>
      <c r="K94" s="274">
        <v>2051.8449999999998</v>
      </c>
      <c r="L94" s="274">
        <v>2076.3620000000001</v>
      </c>
      <c r="M94" s="274">
        <v>2101.5680000000002</v>
      </c>
      <c r="N94" s="274">
        <v>2127.4789999999998</v>
      </c>
      <c r="O94" s="274">
        <v>2154.16</v>
      </c>
      <c r="P94" s="274">
        <v>2181.701</v>
      </c>
      <c r="Q94" s="274">
        <v>2210.1689999999999</v>
      </c>
      <c r="R94" s="274">
        <v>2239.5810000000001</v>
      </c>
      <c r="S94" s="274">
        <v>2269.89</v>
      </c>
      <c r="T94" s="274">
        <v>2301.0230000000001</v>
      </c>
      <c r="U94" s="274">
        <v>2332.9989999999998</v>
      </c>
      <c r="V94" s="274">
        <v>2365.8009999999999</v>
      </c>
      <c r="W94" s="274">
        <v>2399.6669999999999</v>
      </c>
      <c r="X94" s="274">
        <v>2435.1970000000001</v>
      </c>
      <c r="Y94" s="274">
        <v>2473.165</v>
      </c>
      <c r="Z94" s="274">
        <v>2514.1509999999998</v>
      </c>
      <c r="AA94" s="274">
        <v>2558.395</v>
      </c>
      <c r="AB94" s="274">
        <v>2605.837</v>
      </c>
      <c r="AC94" s="274">
        <v>2656.38</v>
      </c>
      <c r="AD94" s="274">
        <v>2709.797</v>
      </c>
      <c r="AE94" s="274">
        <v>2765.9140000000002</v>
      </c>
      <c r="AF94" s="274">
        <v>2824.8270000000002</v>
      </c>
      <c r="AG94" s="274">
        <v>2886.607</v>
      </c>
      <c r="AH94" s="274">
        <v>2951.0010000000002</v>
      </c>
      <c r="AI94" s="274">
        <v>3017.67</v>
      </c>
      <c r="AJ94" s="274">
        <v>3086.4059999999999</v>
      </c>
      <c r="AK94" s="274">
        <v>3155.3679999999999</v>
      </c>
      <c r="AL94" s="274">
        <v>3224.346</v>
      </c>
      <c r="AM94" s="274">
        <v>3296.53</v>
      </c>
      <c r="AN94" s="274">
        <v>3376.3710000000001</v>
      </c>
      <c r="AO94" s="274">
        <v>3466.0439999999999</v>
      </c>
      <c r="AP94" s="274">
        <v>3569.1019999999999</v>
      </c>
      <c r="AQ94" s="274">
        <v>3681.9450000000002</v>
      </c>
      <c r="AR94" s="274">
        <v>3791.078</v>
      </c>
      <c r="AS94" s="274">
        <v>3878.2109999999998</v>
      </c>
      <c r="AT94" s="274">
        <v>3931.2080000000001</v>
      </c>
      <c r="AU94" s="274">
        <v>3945.8989999999999</v>
      </c>
      <c r="AV94" s="274">
        <v>3929.1819999999998</v>
      </c>
      <c r="AW94" s="274">
        <v>3893.8910000000001</v>
      </c>
      <c r="AX94" s="274">
        <v>3858.5590000000002</v>
      </c>
      <c r="AY94" s="274">
        <v>3837.8069999999998</v>
      </c>
      <c r="AZ94" s="274">
        <v>3833.0529999999999</v>
      </c>
      <c r="BA94" s="274">
        <v>3843.4720000000002</v>
      </c>
      <c r="BB94" s="274">
        <v>3878.4749999999999</v>
      </c>
      <c r="BC94" s="274">
        <v>3948.8</v>
      </c>
      <c r="BD94" s="274">
        <v>4060.7089999999998</v>
      </c>
      <c r="BE94" s="274">
        <v>4220.1980000000003</v>
      </c>
      <c r="BF94" s="274">
        <v>4422.1540000000005</v>
      </c>
      <c r="BG94" s="274">
        <v>4647.701</v>
      </c>
      <c r="BH94" s="274">
        <v>4870.4669999999996</v>
      </c>
      <c r="BI94" s="274">
        <v>5071.2709999999997</v>
      </c>
      <c r="BJ94" s="274">
        <v>5243.2139999999999</v>
      </c>
      <c r="BK94" s="274">
        <v>5391.1080000000002</v>
      </c>
      <c r="BL94" s="274">
        <v>5521.8379999999997</v>
      </c>
      <c r="BM94" s="274">
        <v>5647.1940000000004</v>
      </c>
      <c r="BN94" s="274">
        <v>5775.902</v>
      </c>
      <c r="BO94" s="274">
        <v>5908.9080000000004</v>
      </c>
      <c r="BP94" s="274">
        <v>6043.1570000000002</v>
      </c>
      <c r="BQ94" s="274">
        <v>6178.8590000000004</v>
      </c>
      <c r="BR94" s="274">
        <v>6315.6270000000004</v>
      </c>
      <c r="BS94" s="274">
        <v>6453.1840000000002</v>
      </c>
    </row>
    <row r="95" spans="1:71" x14ac:dyDescent="0.4">
      <c r="A95" s="270">
        <v>76</v>
      </c>
      <c r="B95" s="271" t="s">
        <v>890</v>
      </c>
      <c r="C95" s="276" t="s">
        <v>799</v>
      </c>
      <c r="D95" s="273"/>
      <c r="E95" s="273">
        <v>768</v>
      </c>
      <c r="F95" s="274">
        <v>1395.4580000000001</v>
      </c>
      <c r="G95" s="274">
        <v>1425.482</v>
      </c>
      <c r="H95" s="274">
        <v>1441.9079999999999</v>
      </c>
      <c r="I95" s="274">
        <v>1452.0909999999999</v>
      </c>
      <c r="J95" s="274">
        <v>1461.521</v>
      </c>
      <c r="K95" s="274">
        <v>1473.8389999999999</v>
      </c>
      <c r="L95" s="274">
        <v>1490.731</v>
      </c>
      <c r="M95" s="274">
        <v>1512.0250000000001</v>
      </c>
      <c r="N95" s="274">
        <v>1535.9690000000001</v>
      </c>
      <c r="O95" s="274">
        <v>1559.6790000000001</v>
      </c>
      <c r="P95" s="274">
        <v>1580.5129999999999</v>
      </c>
      <c r="Q95" s="274">
        <v>1597.528</v>
      </c>
      <c r="R95" s="274">
        <v>1612.758</v>
      </c>
      <c r="S95" s="274">
        <v>1631.7629999999999</v>
      </c>
      <c r="T95" s="274">
        <v>1662.0719999999999</v>
      </c>
      <c r="U95" s="274">
        <v>1708.6320000000001</v>
      </c>
      <c r="V95" s="274">
        <v>1774.029</v>
      </c>
      <c r="W95" s="274">
        <v>1855.4449999999999</v>
      </c>
      <c r="X95" s="274">
        <v>1945.7809999999999</v>
      </c>
      <c r="Y95" s="274">
        <v>2034.9090000000001</v>
      </c>
      <c r="Z95" s="274">
        <v>2115.5210000000002</v>
      </c>
      <c r="AA95" s="274">
        <v>2185.6610000000001</v>
      </c>
      <c r="AB95" s="274">
        <v>2247.5749999999998</v>
      </c>
      <c r="AC95" s="274">
        <v>2303.3449999999998</v>
      </c>
      <c r="AD95" s="274">
        <v>2356.623</v>
      </c>
      <c r="AE95" s="274">
        <v>2410.4459999999999</v>
      </c>
      <c r="AF95" s="274">
        <v>2464.4569999999999</v>
      </c>
      <c r="AG95" s="274">
        <v>2518.5659999999998</v>
      </c>
      <c r="AH95" s="274">
        <v>2576.4679999999998</v>
      </c>
      <c r="AI95" s="274">
        <v>2642.8449999999998</v>
      </c>
      <c r="AJ95" s="274">
        <v>2720.8380000000002</v>
      </c>
      <c r="AK95" s="274">
        <v>2812.0709999999999</v>
      </c>
      <c r="AL95" s="274">
        <v>2915.1480000000001</v>
      </c>
      <c r="AM95" s="274">
        <v>3026.3780000000002</v>
      </c>
      <c r="AN95" s="274">
        <v>3140.355</v>
      </c>
      <c r="AO95" s="274">
        <v>3252.9949999999999</v>
      </c>
      <c r="AP95" s="274">
        <v>3363.4479999999999</v>
      </c>
      <c r="AQ95" s="274">
        <v>3472.4589999999998</v>
      </c>
      <c r="AR95" s="274">
        <v>3579.489</v>
      </c>
      <c r="AS95" s="274">
        <v>3684.3090000000002</v>
      </c>
      <c r="AT95" s="274">
        <v>3786.942</v>
      </c>
      <c r="AU95" s="274">
        <v>3886.8580000000002</v>
      </c>
      <c r="AV95" s="274">
        <v>3984.3560000000002</v>
      </c>
      <c r="AW95" s="274">
        <v>4081.3980000000001</v>
      </c>
      <c r="AX95" s="274">
        <v>4180.6890000000003</v>
      </c>
      <c r="AY95" s="274">
        <v>4284.2860000000001</v>
      </c>
      <c r="AZ95" s="274">
        <v>4392.9409999999998</v>
      </c>
      <c r="BA95" s="274">
        <v>4506.4650000000001</v>
      </c>
      <c r="BB95" s="274">
        <v>4624.826</v>
      </c>
      <c r="BC95" s="274">
        <v>4747.665</v>
      </c>
      <c r="BD95" s="274">
        <v>4874.7349999999997</v>
      </c>
      <c r="BE95" s="274">
        <v>5006.223</v>
      </c>
      <c r="BF95" s="274">
        <v>5142.4189999999999</v>
      </c>
      <c r="BG95" s="274">
        <v>5283.2460000000001</v>
      </c>
      <c r="BH95" s="274">
        <v>5428.5519999999997</v>
      </c>
      <c r="BI95" s="274">
        <v>5578.2190000000001</v>
      </c>
      <c r="BJ95" s="274">
        <v>5732.1750000000002</v>
      </c>
      <c r="BK95" s="274">
        <v>5890.4139999999998</v>
      </c>
      <c r="BL95" s="274">
        <v>6052.9369999999999</v>
      </c>
      <c r="BM95" s="274">
        <v>6219.7610000000004</v>
      </c>
      <c r="BN95" s="274">
        <v>6390.8509999999997</v>
      </c>
      <c r="BO95" s="274">
        <v>6566.1790000000001</v>
      </c>
      <c r="BP95" s="274">
        <v>6745.5810000000001</v>
      </c>
      <c r="BQ95" s="274">
        <v>6928.7190000000001</v>
      </c>
      <c r="BR95" s="274">
        <v>7115.1629999999996</v>
      </c>
      <c r="BS95" s="274">
        <v>7304.5780000000004</v>
      </c>
    </row>
    <row r="96" spans="1:71" x14ac:dyDescent="0.4">
      <c r="A96" s="270">
        <v>77</v>
      </c>
      <c r="B96" s="271" t="s">
        <v>890</v>
      </c>
      <c r="C96" s="272" t="s">
        <v>920</v>
      </c>
      <c r="D96" s="273"/>
      <c r="E96" s="273">
        <v>935</v>
      </c>
      <c r="F96" s="274">
        <v>1394017.757</v>
      </c>
      <c r="G96" s="274">
        <v>1423856.3540000001</v>
      </c>
      <c r="H96" s="274">
        <v>1451914.5630000001</v>
      </c>
      <c r="I96" s="274">
        <v>1479107.4310000001</v>
      </c>
      <c r="J96" s="274">
        <v>1506179.824</v>
      </c>
      <c r="K96" s="274">
        <v>1533706.449</v>
      </c>
      <c r="L96" s="274">
        <v>1562084.99</v>
      </c>
      <c r="M96" s="274">
        <v>1591542.95</v>
      </c>
      <c r="N96" s="274">
        <v>1622158.209</v>
      </c>
      <c r="O96" s="274">
        <v>1653893.2150000001</v>
      </c>
      <c r="P96" s="274">
        <v>1686697.6170000001</v>
      </c>
      <c r="Q96" s="274">
        <v>1720617.76</v>
      </c>
      <c r="R96" s="274">
        <v>1755892.4779999999</v>
      </c>
      <c r="S96" s="274">
        <v>1792994.1629999999</v>
      </c>
      <c r="T96" s="274">
        <v>1832512.416</v>
      </c>
      <c r="U96" s="274">
        <v>1874811.932</v>
      </c>
      <c r="V96" s="274">
        <v>1920059.8089999999</v>
      </c>
      <c r="W96" s="274">
        <v>1967979.3060000001</v>
      </c>
      <c r="X96" s="274">
        <v>2017922.898</v>
      </c>
      <c r="Y96" s="274">
        <v>2068979.3840000001</v>
      </c>
      <c r="Z96" s="274">
        <v>2120430.0150000001</v>
      </c>
      <c r="AA96" s="274">
        <v>2172129.3790000002</v>
      </c>
      <c r="AB96" s="274">
        <v>2224091.7519999999</v>
      </c>
      <c r="AC96" s="274">
        <v>2275960.8820000002</v>
      </c>
      <c r="AD96" s="274">
        <v>2327361.8080000002</v>
      </c>
      <c r="AE96" s="274">
        <v>2378065.7760000001</v>
      </c>
      <c r="AF96" s="274">
        <v>2427877.3199999998</v>
      </c>
      <c r="AG96" s="274">
        <v>2476930.253</v>
      </c>
      <c r="AH96" s="274">
        <v>2525755.8110000002</v>
      </c>
      <c r="AI96" s="274">
        <v>2575112.912</v>
      </c>
      <c r="AJ96" s="274">
        <v>2625583.6170000001</v>
      </c>
      <c r="AK96" s="274">
        <v>2677174.7689999999</v>
      </c>
      <c r="AL96" s="274">
        <v>2729792.568</v>
      </c>
      <c r="AM96" s="274">
        <v>2783775.665</v>
      </c>
      <c r="AN96" s="274">
        <v>2839511.2560000001</v>
      </c>
      <c r="AO96" s="274">
        <v>2897176.6639999999</v>
      </c>
      <c r="AP96" s="274">
        <v>2956960.1329999999</v>
      </c>
      <c r="AQ96" s="274">
        <v>3018518.9180000001</v>
      </c>
      <c r="AR96" s="274">
        <v>3080826.852</v>
      </c>
      <c r="AS96" s="274">
        <v>3142492.5430000001</v>
      </c>
      <c r="AT96" s="274">
        <v>3202474.6919999998</v>
      </c>
      <c r="AU96" s="274">
        <v>3260422.0320000001</v>
      </c>
      <c r="AV96" s="274">
        <v>3316482.2429999998</v>
      </c>
      <c r="AW96" s="274">
        <v>3370737.4670000002</v>
      </c>
      <c r="AX96" s="274">
        <v>3423450.923</v>
      </c>
      <c r="AY96" s="274">
        <v>3474848.6770000001</v>
      </c>
      <c r="AZ96" s="274">
        <v>3524866.415</v>
      </c>
      <c r="BA96" s="274">
        <v>3573473.6030000001</v>
      </c>
      <c r="BB96" s="274">
        <v>3621000.7760000001</v>
      </c>
      <c r="BC96" s="274">
        <v>3667887.0819999999</v>
      </c>
      <c r="BD96" s="274">
        <v>3714469.8319999999</v>
      </c>
      <c r="BE96" s="274">
        <v>3760897.85</v>
      </c>
      <c r="BF96" s="274">
        <v>3807164.023</v>
      </c>
      <c r="BG96" s="274">
        <v>3853257.5290000001</v>
      </c>
      <c r="BH96" s="274">
        <v>3899107.0950000002</v>
      </c>
      <c r="BI96" s="274">
        <v>3944669.784</v>
      </c>
      <c r="BJ96" s="274">
        <v>3989937.4950000001</v>
      </c>
      <c r="BK96" s="274">
        <v>4034976.7429999998</v>
      </c>
      <c r="BL96" s="274">
        <v>4079895.591</v>
      </c>
      <c r="BM96" s="274">
        <v>4124831.9539999999</v>
      </c>
      <c r="BN96" s="274">
        <v>4169860.3870000001</v>
      </c>
      <c r="BO96" s="274">
        <v>4215002.03</v>
      </c>
      <c r="BP96" s="274">
        <v>4260153</v>
      </c>
      <c r="BQ96" s="274">
        <v>4305101.5889999997</v>
      </c>
      <c r="BR96" s="274">
        <v>4349560.5209999997</v>
      </c>
      <c r="BS96" s="274">
        <v>4393296.0140000004</v>
      </c>
    </row>
    <row r="97" spans="1:71" x14ac:dyDescent="0.4">
      <c r="A97" s="270">
        <v>78</v>
      </c>
      <c r="B97" s="271" t="s">
        <v>890</v>
      </c>
      <c r="C97" s="277" t="s">
        <v>921</v>
      </c>
      <c r="D97" s="273"/>
      <c r="E97" s="273">
        <v>906</v>
      </c>
      <c r="F97" s="274">
        <v>666585.79099999997</v>
      </c>
      <c r="G97" s="274">
        <v>683000.62199999997</v>
      </c>
      <c r="H97" s="274">
        <v>696744.60100000002</v>
      </c>
      <c r="I97" s="274">
        <v>708770.91</v>
      </c>
      <c r="J97" s="274">
        <v>719855.875</v>
      </c>
      <c r="K97" s="274">
        <v>730598.95900000003</v>
      </c>
      <c r="L97" s="274">
        <v>741415.59699999995</v>
      </c>
      <c r="M97" s="274">
        <v>752544.35600000003</v>
      </c>
      <c r="N97" s="274">
        <v>764068.45200000005</v>
      </c>
      <c r="O97" s="274">
        <v>775951.53200000001</v>
      </c>
      <c r="P97" s="274">
        <v>788145.17200000002</v>
      </c>
      <c r="Q97" s="274">
        <v>800703.48600000003</v>
      </c>
      <c r="R97" s="274">
        <v>813883.43200000003</v>
      </c>
      <c r="S97" s="274">
        <v>828187.79</v>
      </c>
      <c r="T97" s="274">
        <v>844243.38899999997</v>
      </c>
      <c r="U97" s="274">
        <v>862442.86800000002</v>
      </c>
      <c r="V97" s="274">
        <v>882965.24100000004</v>
      </c>
      <c r="W97" s="274">
        <v>905532.40099999995</v>
      </c>
      <c r="X97" s="274">
        <v>929493.951</v>
      </c>
      <c r="Y97" s="274">
        <v>953929.83200000005</v>
      </c>
      <c r="Z97" s="274">
        <v>978112.90700000001</v>
      </c>
      <c r="AA97" s="274">
        <v>1001886.545</v>
      </c>
      <c r="AB97" s="274">
        <v>1025260.639</v>
      </c>
      <c r="AC97" s="274">
        <v>1047882.997</v>
      </c>
      <c r="AD97" s="274">
        <v>1069385.7379999999</v>
      </c>
      <c r="AE97" s="274">
        <v>1089536.264</v>
      </c>
      <c r="AF97" s="274">
        <v>1108175.44</v>
      </c>
      <c r="AG97" s="274">
        <v>1125414.709</v>
      </c>
      <c r="AH97" s="274">
        <v>1141655.459</v>
      </c>
      <c r="AI97" s="274">
        <v>1157482.7790000001</v>
      </c>
      <c r="AJ97" s="274">
        <v>1173372.0759999999</v>
      </c>
      <c r="AK97" s="274">
        <v>1189309.9480000001</v>
      </c>
      <c r="AL97" s="274">
        <v>1205298.6880000001</v>
      </c>
      <c r="AM97" s="274">
        <v>1221836.392</v>
      </c>
      <c r="AN97" s="274">
        <v>1239531.7220000001</v>
      </c>
      <c r="AO97" s="274">
        <v>1258749.5079999999</v>
      </c>
      <c r="AP97" s="274">
        <v>1279730.4609999999</v>
      </c>
      <c r="AQ97" s="274">
        <v>1302173.598</v>
      </c>
      <c r="AR97" s="274">
        <v>1325217.0889999999</v>
      </c>
      <c r="AS97" s="274">
        <v>1347657.5830000001</v>
      </c>
      <c r="AT97" s="274">
        <v>1368591.9339999999</v>
      </c>
      <c r="AU97" s="274">
        <v>1387765.659</v>
      </c>
      <c r="AV97" s="274">
        <v>1405324.2009999999</v>
      </c>
      <c r="AW97" s="274">
        <v>1421261.412</v>
      </c>
      <c r="AX97" s="274">
        <v>1435692.3330000001</v>
      </c>
      <c r="AY97" s="274">
        <v>1448737.966</v>
      </c>
      <c r="AZ97" s="274">
        <v>1460322.7290000001</v>
      </c>
      <c r="BA97" s="274">
        <v>1470467.9709999999</v>
      </c>
      <c r="BB97" s="274">
        <v>1479536.17</v>
      </c>
      <c r="BC97" s="274">
        <v>1488016.047</v>
      </c>
      <c r="BD97" s="274">
        <v>1496284.0260000001</v>
      </c>
      <c r="BE97" s="274">
        <v>1504487.5989999999</v>
      </c>
      <c r="BF97" s="274">
        <v>1512614.8640000001</v>
      </c>
      <c r="BG97" s="274">
        <v>1520686.1740000001</v>
      </c>
      <c r="BH97" s="274">
        <v>1528668.0109999999</v>
      </c>
      <c r="BI97" s="274">
        <v>1536539.6910000001</v>
      </c>
      <c r="BJ97" s="274">
        <v>1544332.61</v>
      </c>
      <c r="BK97" s="274">
        <v>1552099.0079999999</v>
      </c>
      <c r="BL97" s="274">
        <v>1559851.4839999999</v>
      </c>
      <c r="BM97" s="274">
        <v>1567594.97</v>
      </c>
      <c r="BN97" s="274">
        <v>1575320.344</v>
      </c>
      <c r="BO97" s="274">
        <v>1583024.183</v>
      </c>
      <c r="BP97" s="274">
        <v>1590669.983</v>
      </c>
      <c r="BQ97" s="274">
        <v>1598169.548</v>
      </c>
      <c r="BR97" s="274">
        <v>1605407.814</v>
      </c>
      <c r="BS97" s="274">
        <v>1612286.9410000001</v>
      </c>
    </row>
    <row r="98" spans="1:71" x14ac:dyDescent="0.4">
      <c r="A98" s="270">
        <v>79</v>
      </c>
      <c r="B98" s="271" t="s">
        <v>890</v>
      </c>
      <c r="C98" s="276" t="s">
        <v>312</v>
      </c>
      <c r="D98" s="273">
        <v>4</v>
      </c>
      <c r="E98" s="273">
        <v>156</v>
      </c>
      <c r="F98" s="274">
        <v>544112.92299999995</v>
      </c>
      <c r="G98" s="274">
        <v>558820.36199999996</v>
      </c>
      <c r="H98" s="274">
        <v>570764.96499999997</v>
      </c>
      <c r="I98" s="274">
        <v>580886.55900000001</v>
      </c>
      <c r="J98" s="274">
        <v>589955.81200000003</v>
      </c>
      <c r="K98" s="274">
        <v>598574.24100000004</v>
      </c>
      <c r="L98" s="274">
        <v>607167.52399999998</v>
      </c>
      <c r="M98" s="274">
        <v>615992.18200000003</v>
      </c>
      <c r="N98" s="274">
        <v>625155.62600000005</v>
      </c>
      <c r="O98" s="274">
        <v>634649.55700000003</v>
      </c>
      <c r="P98" s="274">
        <v>644450.17299999995</v>
      </c>
      <c r="Q98" s="274">
        <v>654625.06900000002</v>
      </c>
      <c r="R98" s="274">
        <v>665426.76</v>
      </c>
      <c r="S98" s="274">
        <v>677332.76500000001</v>
      </c>
      <c r="T98" s="274">
        <v>690932.04299999995</v>
      </c>
      <c r="U98" s="274">
        <v>706590.94700000004</v>
      </c>
      <c r="V98" s="274">
        <v>724490.03300000005</v>
      </c>
      <c r="W98" s="274">
        <v>744365.63500000001</v>
      </c>
      <c r="X98" s="274">
        <v>765570.66799999995</v>
      </c>
      <c r="Y98" s="274">
        <v>787191.24300000002</v>
      </c>
      <c r="Z98" s="274">
        <v>808510.71299999999</v>
      </c>
      <c r="AA98" s="274">
        <v>829367.78399999999</v>
      </c>
      <c r="AB98" s="274">
        <v>849787.99100000004</v>
      </c>
      <c r="AC98" s="274">
        <v>869474.82299999997</v>
      </c>
      <c r="AD98" s="274">
        <v>888132.76100000006</v>
      </c>
      <c r="AE98" s="274">
        <v>905580.44499999995</v>
      </c>
      <c r="AF98" s="274">
        <v>921688.19900000002</v>
      </c>
      <c r="AG98" s="274">
        <v>936554.51399999997</v>
      </c>
      <c r="AH98" s="274">
        <v>950537.31700000004</v>
      </c>
      <c r="AI98" s="274">
        <v>964155.17599999998</v>
      </c>
      <c r="AJ98" s="274">
        <v>977837.43299999996</v>
      </c>
      <c r="AK98" s="274">
        <v>991553.82900000003</v>
      </c>
      <c r="AL98" s="274">
        <v>1005328.574</v>
      </c>
      <c r="AM98" s="274">
        <v>1019698.475</v>
      </c>
      <c r="AN98" s="274">
        <v>1035328.572</v>
      </c>
      <c r="AO98" s="274">
        <v>1052622.4099999999</v>
      </c>
      <c r="AP98" s="274">
        <v>1071834.9750000001</v>
      </c>
      <c r="AQ98" s="274">
        <v>1092646.7390000001</v>
      </c>
      <c r="AR98" s="274">
        <v>1114162.0249999999</v>
      </c>
      <c r="AS98" s="274">
        <v>1135128.0090000001</v>
      </c>
      <c r="AT98" s="274">
        <v>1154605.773</v>
      </c>
      <c r="AU98" s="274">
        <v>1172327.831</v>
      </c>
      <c r="AV98" s="274">
        <v>1188450.2309999999</v>
      </c>
      <c r="AW98" s="274">
        <v>1202982.9550000001</v>
      </c>
      <c r="AX98" s="274">
        <v>1216067.023</v>
      </c>
      <c r="AY98" s="274">
        <v>1227841.281</v>
      </c>
      <c r="AZ98" s="274">
        <v>1238234.851</v>
      </c>
      <c r="BA98" s="274">
        <v>1247259.1429999999</v>
      </c>
      <c r="BB98" s="274">
        <v>1255262.5660000001</v>
      </c>
      <c r="BC98" s="274">
        <v>1262713.6510000001</v>
      </c>
      <c r="BD98" s="274">
        <v>1269974.5719999999</v>
      </c>
      <c r="BE98" s="274">
        <v>1277188.787</v>
      </c>
      <c r="BF98" s="274">
        <v>1284349.9380000001</v>
      </c>
      <c r="BG98" s="274">
        <v>1291485.4879999999</v>
      </c>
      <c r="BH98" s="274">
        <v>1298573.031</v>
      </c>
      <c r="BI98" s="274">
        <v>1305600.6299999999</v>
      </c>
      <c r="BJ98" s="274">
        <v>1312600.8770000001</v>
      </c>
      <c r="BK98" s="274">
        <v>1319625.1969999999</v>
      </c>
      <c r="BL98" s="274">
        <v>1326690.6359999999</v>
      </c>
      <c r="BM98" s="274">
        <v>1333807.0630000001</v>
      </c>
      <c r="BN98" s="274">
        <v>1340968.737</v>
      </c>
      <c r="BO98" s="274">
        <v>1348174.4779999999</v>
      </c>
      <c r="BP98" s="274">
        <v>1355386.952</v>
      </c>
      <c r="BQ98" s="274">
        <v>1362514.26</v>
      </c>
      <c r="BR98" s="274">
        <v>1369435.67</v>
      </c>
      <c r="BS98" s="274">
        <v>1376048.943</v>
      </c>
    </row>
    <row r="99" spans="1:71" x14ac:dyDescent="0.4">
      <c r="A99" s="270">
        <v>80</v>
      </c>
      <c r="B99" s="271" t="s">
        <v>890</v>
      </c>
      <c r="C99" s="276" t="s">
        <v>922</v>
      </c>
      <c r="D99" s="273">
        <v>5</v>
      </c>
      <c r="E99" s="273">
        <v>344</v>
      </c>
      <c r="F99" s="274">
        <v>1973.998</v>
      </c>
      <c r="G99" s="274">
        <v>2036.15</v>
      </c>
      <c r="H99" s="274">
        <v>2133.6030000000001</v>
      </c>
      <c r="I99" s="274">
        <v>2249.3339999999998</v>
      </c>
      <c r="J99" s="274">
        <v>2370.828</v>
      </c>
      <c r="K99" s="274">
        <v>2490.069</v>
      </c>
      <c r="L99" s="274">
        <v>2603.777</v>
      </c>
      <c r="M99" s="274">
        <v>2713.1759999999999</v>
      </c>
      <c r="N99" s="274">
        <v>2823.3020000000001</v>
      </c>
      <c r="O99" s="274">
        <v>2941.857</v>
      </c>
      <c r="P99" s="274">
        <v>3075.752</v>
      </c>
      <c r="Q99" s="274">
        <v>3227.4259999999999</v>
      </c>
      <c r="R99" s="274">
        <v>3391.625</v>
      </c>
      <c r="S99" s="274">
        <v>3554.0250000000001</v>
      </c>
      <c r="T99" s="274">
        <v>3695.136</v>
      </c>
      <c r="U99" s="274">
        <v>3801.8139999999999</v>
      </c>
      <c r="V99" s="274">
        <v>3868.4969999999998</v>
      </c>
      <c r="W99" s="274">
        <v>3901.6529999999998</v>
      </c>
      <c r="X99" s="274">
        <v>3915.0949999999998</v>
      </c>
      <c r="Y99" s="274">
        <v>3928.9279999999999</v>
      </c>
      <c r="Z99" s="274">
        <v>3958.1970000000001</v>
      </c>
      <c r="AA99" s="274">
        <v>4005.761</v>
      </c>
      <c r="AB99" s="274">
        <v>4068.4059999999999</v>
      </c>
      <c r="AC99" s="274">
        <v>4147.5959999999995</v>
      </c>
      <c r="AD99" s="274">
        <v>4243.5119999999997</v>
      </c>
      <c r="AE99" s="274">
        <v>4355.3010000000004</v>
      </c>
      <c r="AF99" s="274">
        <v>4485.8130000000001</v>
      </c>
      <c r="AG99" s="274">
        <v>4633.3289999999997</v>
      </c>
      <c r="AH99" s="274">
        <v>4786.58</v>
      </c>
      <c r="AI99" s="274">
        <v>4930.2979999999998</v>
      </c>
      <c r="AJ99" s="274">
        <v>5053.6840000000002</v>
      </c>
      <c r="AK99" s="274">
        <v>5152.0569999999998</v>
      </c>
      <c r="AL99" s="274">
        <v>5228.8130000000001</v>
      </c>
      <c r="AM99" s="274">
        <v>5291.21</v>
      </c>
      <c r="AN99" s="274">
        <v>5350.4669999999996</v>
      </c>
      <c r="AO99" s="274">
        <v>5414.79</v>
      </c>
      <c r="AP99" s="274">
        <v>5486.9650000000001</v>
      </c>
      <c r="AQ99" s="274">
        <v>5564.5959999999995</v>
      </c>
      <c r="AR99" s="274">
        <v>5644.652</v>
      </c>
      <c r="AS99" s="274">
        <v>5722.1610000000001</v>
      </c>
      <c r="AT99" s="274">
        <v>5794.0339999999997</v>
      </c>
      <c r="AU99" s="274">
        <v>5857.335</v>
      </c>
      <c r="AV99" s="274">
        <v>5914.576</v>
      </c>
      <c r="AW99" s="274">
        <v>5974.3789999999999</v>
      </c>
      <c r="AX99" s="274">
        <v>6048.585</v>
      </c>
      <c r="AY99" s="274">
        <v>6144.4979999999996</v>
      </c>
      <c r="AZ99" s="274">
        <v>6267.2950000000001</v>
      </c>
      <c r="BA99" s="274">
        <v>6411.2730000000001</v>
      </c>
      <c r="BB99" s="274">
        <v>6559.6559999999999</v>
      </c>
      <c r="BC99" s="274">
        <v>6689.1350000000002</v>
      </c>
      <c r="BD99" s="274">
        <v>6783.5020000000004</v>
      </c>
      <c r="BE99" s="274">
        <v>6836.5379999999996</v>
      </c>
      <c r="BF99" s="274">
        <v>6854.7550000000001</v>
      </c>
      <c r="BG99" s="274">
        <v>6850.3609999999999</v>
      </c>
      <c r="BH99" s="274">
        <v>6841.7049999999999</v>
      </c>
      <c r="BI99" s="274">
        <v>6842.4650000000001</v>
      </c>
      <c r="BJ99" s="274">
        <v>6855.8180000000002</v>
      </c>
      <c r="BK99" s="274">
        <v>6878.5659999999998</v>
      </c>
      <c r="BL99" s="274">
        <v>6910.384</v>
      </c>
      <c r="BM99" s="274">
        <v>6949.2749999999996</v>
      </c>
      <c r="BN99" s="274">
        <v>6993.57</v>
      </c>
      <c r="BO99" s="274">
        <v>7044.2110000000002</v>
      </c>
      <c r="BP99" s="274">
        <v>7101.8580000000002</v>
      </c>
      <c r="BQ99" s="274">
        <v>7163.93</v>
      </c>
      <c r="BR99" s="274">
        <v>7226.8689999999997</v>
      </c>
      <c r="BS99" s="274">
        <v>7287.9830000000002</v>
      </c>
    </row>
    <row r="100" spans="1:71" x14ac:dyDescent="0.4">
      <c r="A100" s="270">
        <v>81</v>
      </c>
      <c r="B100" s="271" t="s">
        <v>890</v>
      </c>
      <c r="C100" s="276" t="s">
        <v>923</v>
      </c>
      <c r="D100" s="273">
        <v>6</v>
      </c>
      <c r="E100" s="273">
        <v>446</v>
      </c>
      <c r="F100" s="274">
        <v>196.482</v>
      </c>
      <c r="G100" s="274">
        <v>195.95</v>
      </c>
      <c r="H100" s="274">
        <v>193.74299999999999</v>
      </c>
      <c r="I100" s="274">
        <v>190.28800000000001</v>
      </c>
      <c r="J100" s="274">
        <v>186.03200000000001</v>
      </c>
      <c r="K100" s="274">
        <v>181.45</v>
      </c>
      <c r="L100" s="274">
        <v>177.041</v>
      </c>
      <c r="M100" s="274">
        <v>173.32900000000001</v>
      </c>
      <c r="N100" s="274">
        <v>170.84399999999999</v>
      </c>
      <c r="O100" s="274">
        <v>170.08799999999999</v>
      </c>
      <c r="P100" s="274">
        <v>171.45599999999999</v>
      </c>
      <c r="Q100" s="274">
        <v>175.13499999999999</v>
      </c>
      <c r="R100" s="274">
        <v>181.02500000000001</v>
      </c>
      <c r="S100" s="274">
        <v>188.703</v>
      </c>
      <c r="T100" s="274">
        <v>197.523</v>
      </c>
      <c r="U100" s="274">
        <v>206.91</v>
      </c>
      <c r="V100" s="274">
        <v>216.87299999999999</v>
      </c>
      <c r="W100" s="274">
        <v>227.25800000000001</v>
      </c>
      <c r="X100" s="274">
        <v>237.12899999999999</v>
      </c>
      <c r="Y100" s="274">
        <v>245.31</v>
      </c>
      <c r="Z100" s="274">
        <v>250.99700000000001</v>
      </c>
      <c r="AA100" s="274">
        <v>253.881</v>
      </c>
      <c r="AB100" s="274">
        <v>254.28200000000001</v>
      </c>
      <c r="AC100" s="274">
        <v>252.845</v>
      </c>
      <c r="AD100" s="274">
        <v>250.55</v>
      </c>
      <c r="AE100" s="274">
        <v>248.21299999999999</v>
      </c>
      <c r="AF100" s="274">
        <v>245.91499999999999</v>
      </c>
      <c r="AG100" s="274">
        <v>243.72900000000001</v>
      </c>
      <c r="AH100" s="274">
        <v>242.458</v>
      </c>
      <c r="AI100" s="274">
        <v>243.07300000000001</v>
      </c>
      <c r="AJ100" s="274">
        <v>246.23599999999999</v>
      </c>
      <c r="AK100" s="274">
        <v>252.25800000000001</v>
      </c>
      <c r="AL100" s="274">
        <v>260.92099999999999</v>
      </c>
      <c r="AM100" s="274">
        <v>271.67399999999998</v>
      </c>
      <c r="AN100" s="274">
        <v>283.67200000000003</v>
      </c>
      <c r="AO100" s="274">
        <v>296.22199999999998</v>
      </c>
      <c r="AP100" s="274">
        <v>309.226</v>
      </c>
      <c r="AQ100" s="274">
        <v>322.65499999999997</v>
      </c>
      <c r="AR100" s="274">
        <v>335.952</v>
      </c>
      <c r="AS100" s="274">
        <v>348.46699999999998</v>
      </c>
      <c r="AT100" s="274">
        <v>359.73500000000001</v>
      </c>
      <c r="AU100" s="274">
        <v>369.48399999999998</v>
      </c>
      <c r="AV100" s="274">
        <v>377.79899999999998</v>
      </c>
      <c r="AW100" s="274">
        <v>385.041</v>
      </c>
      <c r="AX100" s="274">
        <v>391.78300000000002</v>
      </c>
      <c r="AY100" s="274">
        <v>398.459</v>
      </c>
      <c r="AZ100" s="274">
        <v>405.23099999999999</v>
      </c>
      <c r="BA100" s="274">
        <v>412.03100000000001</v>
      </c>
      <c r="BB100" s="274">
        <v>418.81</v>
      </c>
      <c r="BC100" s="274">
        <v>425.44799999999998</v>
      </c>
      <c r="BD100" s="274">
        <v>431.90699999999998</v>
      </c>
      <c r="BE100" s="274">
        <v>438.08800000000002</v>
      </c>
      <c r="BF100" s="274">
        <v>444.178</v>
      </c>
      <c r="BG100" s="274">
        <v>450.75400000000002</v>
      </c>
      <c r="BH100" s="274">
        <v>458.57900000000001</v>
      </c>
      <c r="BI100" s="274">
        <v>468.149</v>
      </c>
      <c r="BJ100" s="274">
        <v>479.72800000000001</v>
      </c>
      <c r="BK100" s="274">
        <v>493.02199999999999</v>
      </c>
      <c r="BL100" s="274">
        <v>507.274</v>
      </c>
      <c r="BM100" s="274">
        <v>521.40499999999997</v>
      </c>
      <c r="BN100" s="274">
        <v>534.62599999999998</v>
      </c>
      <c r="BO100" s="274">
        <v>546.68200000000002</v>
      </c>
      <c r="BP100" s="274">
        <v>557.76300000000003</v>
      </c>
      <c r="BQ100" s="274">
        <v>568.05600000000004</v>
      </c>
      <c r="BR100" s="274">
        <v>577.91399999999999</v>
      </c>
      <c r="BS100" s="274">
        <v>587.60599999999999</v>
      </c>
    </row>
    <row r="101" spans="1:71" x14ac:dyDescent="0.4">
      <c r="A101" s="270">
        <v>82</v>
      </c>
      <c r="B101" s="271" t="s">
        <v>890</v>
      </c>
      <c r="C101" s="276" t="s">
        <v>924</v>
      </c>
      <c r="D101" s="273"/>
      <c r="E101" s="273">
        <v>408</v>
      </c>
      <c r="F101" s="274">
        <v>10549.468999999999</v>
      </c>
      <c r="G101" s="274">
        <v>10248.495999999999</v>
      </c>
      <c r="H101" s="274">
        <v>10049.026</v>
      </c>
      <c r="I101" s="274">
        <v>9957.2440000000006</v>
      </c>
      <c r="J101" s="274">
        <v>9972.4369999999999</v>
      </c>
      <c r="K101" s="274">
        <v>10086.993</v>
      </c>
      <c r="L101" s="274">
        <v>10285.936</v>
      </c>
      <c r="M101" s="274">
        <v>10547.388999999999</v>
      </c>
      <c r="N101" s="274">
        <v>10843.978999999999</v>
      </c>
      <c r="O101" s="274">
        <v>11145.152</v>
      </c>
      <c r="P101" s="274">
        <v>11424.179</v>
      </c>
      <c r="Q101" s="274">
        <v>11665.593000000001</v>
      </c>
      <c r="R101" s="274">
        <v>11871.72</v>
      </c>
      <c r="S101" s="274">
        <v>12065.47</v>
      </c>
      <c r="T101" s="274">
        <v>12282.421</v>
      </c>
      <c r="U101" s="274">
        <v>12547.523999999999</v>
      </c>
      <c r="V101" s="274">
        <v>12864.683000000001</v>
      </c>
      <c r="W101" s="274">
        <v>13221.825999999999</v>
      </c>
      <c r="X101" s="274">
        <v>13608.611000000001</v>
      </c>
      <c r="Y101" s="274">
        <v>14009.168</v>
      </c>
      <c r="Z101" s="274">
        <v>14410.4</v>
      </c>
      <c r="AA101" s="274">
        <v>14812.362999999999</v>
      </c>
      <c r="AB101" s="274">
        <v>15214.615</v>
      </c>
      <c r="AC101" s="274">
        <v>15603.001</v>
      </c>
      <c r="AD101" s="274">
        <v>15960.127</v>
      </c>
      <c r="AE101" s="274">
        <v>16274.74</v>
      </c>
      <c r="AF101" s="274">
        <v>16539.028999999999</v>
      </c>
      <c r="AG101" s="274">
        <v>16758.826000000001</v>
      </c>
      <c r="AH101" s="274">
        <v>16953.620999999999</v>
      </c>
      <c r="AI101" s="274">
        <v>17151.321</v>
      </c>
      <c r="AJ101" s="274">
        <v>17372.167000000001</v>
      </c>
      <c r="AK101" s="274">
        <v>17623.334999999999</v>
      </c>
      <c r="AL101" s="274">
        <v>17899.236000000001</v>
      </c>
      <c r="AM101" s="274">
        <v>18191.881000000001</v>
      </c>
      <c r="AN101" s="274">
        <v>18487.996999999999</v>
      </c>
      <c r="AO101" s="274">
        <v>18778.100999999999</v>
      </c>
      <c r="AP101" s="274">
        <v>19058.988000000001</v>
      </c>
      <c r="AQ101" s="274">
        <v>19334.55</v>
      </c>
      <c r="AR101" s="274">
        <v>19610.511999999999</v>
      </c>
      <c r="AS101" s="274">
        <v>19895.39</v>
      </c>
      <c r="AT101" s="274">
        <v>20194.353999999999</v>
      </c>
      <c r="AU101" s="274">
        <v>20510.207999999999</v>
      </c>
      <c r="AV101" s="274">
        <v>20838.081999999999</v>
      </c>
      <c r="AW101" s="274">
        <v>21166.23</v>
      </c>
      <c r="AX101" s="274">
        <v>21478.544000000002</v>
      </c>
      <c r="AY101" s="274">
        <v>21763.67</v>
      </c>
      <c r="AZ101" s="274">
        <v>22016.51</v>
      </c>
      <c r="BA101" s="274">
        <v>22240.826000000001</v>
      </c>
      <c r="BB101" s="274">
        <v>22444.986000000001</v>
      </c>
      <c r="BC101" s="274">
        <v>22641.746999999999</v>
      </c>
      <c r="BD101" s="274">
        <v>22840.218000000001</v>
      </c>
      <c r="BE101" s="274">
        <v>23043.440999999999</v>
      </c>
      <c r="BF101" s="274">
        <v>23248.053</v>
      </c>
      <c r="BG101" s="274">
        <v>23449.172999999999</v>
      </c>
      <c r="BH101" s="274">
        <v>23639.295999999998</v>
      </c>
      <c r="BI101" s="274">
        <v>23813.324000000001</v>
      </c>
      <c r="BJ101" s="274">
        <v>23969.897000000001</v>
      </c>
      <c r="BK101" s="274">
        <v>24111.945</v>
      </c>
      <c r="BL101" s="274">
        <v>24243.829000000002</v>
      </c>
      <c r="BM101" s="274">
        <v>24371.806</v>
      </c>
      <c r="BN101" s="274">
        <v>24500.506000000001</v>
      </c>
      <c r="BO101" s="274">
        <v>24631.359</v>
      </c>
      <c r="BP101" s="274">
        <v>24763.352999999999</v>
      </c>
      <c r="BQ101" s="274">
        <v>24895.705000000002</v>
      </c>
      <c r="BR101" s="274">
        <v>25026.772000000001</v>
      </c>
      <c r="BS101" s="274">
        <v>25155.316999999999</v>
      </c>
    </row>
    <row r="102" spans="1:71" x14ac:dyDescent="0.4">
      <c r="A102" s="270">
        <v>83</v>
      </c>
      <c r="B102" s="271" t="s">
        <v>890</v>
      </c>
      <c r="C102" s="276" t="s">
        <v>486</v>
      </c>
      <c r="D102" s="273"/>
      <c r="E102" s="273">
        <v>392</v>
      </c>
      <c r="F102" s="274">
        <v>82199.47</v>
      </c>
      <c r="G102" s="274">
        <v>83794.452000000005</v>
      </c>
      <c r="H102" s="274">
        <v>85174.909</v>
      </c>
      <c r="I102" s="274">
        <v>86378.004000000001</v>
      </c>
      <c r="J102" s="274">
        <v>87438.747000000003</v>
      </c>
      <c r="K102" s="274">
        <v>88389.994000000006</v>
      </c>
      <c r="L102" s="274">
        <v>89262.489000000001</v>
      </c>
      <c r="M102" s="274">
        <v>90084.817999999999</v>
      </c>
      <c r="N102" s="274">
        <v>90883.29</v>
      </c>
      <c r="O102" s="274">
        <v>91681.713000000003</v>
      </c>
      <c r="P102" s="274">
        <v>92500.754000000001</v>
      </c>
      <c r="Q102" s="274">
        <v>93357.259000000005</v>
      </c>
      <c r="R102" s="274">
        <v>94263.645999999993</v>
      </c>
      <c r="S102" s="274">
        <v>95227.653000000006</v>
      </c>
      <c r="T102" s="274">
        <v>96253.063999999998</v>
      </c>
      <c r="U102" s="274">
        <v>97341.851999999999</v>
      </c>
      <c r="V102" s="274">
        <v>98494.63</v>
      </c>
      <c r="W102" s="274">
        <v>99711.081999999995</v>
      </c>
      <c r="X102" s="274">
        <v>100988.86599999999</v>
      </c>
      <c r="Y102" s="274">
        <v>102323.674</v>
      </c>
      <c r="Z102" s="274">
        <v>103707.537</v>
      </c>
      <c r="AA102" s="274">
        <v>105142.875</v>
      </c>
      <c r="AB102" s="274">
        <v>106616.535</v>
      </c>
      <c r="AC102" s="274">
        <v>108085.72900000001</v>
      </c>
      <c r="AD102" s="274">
        <v>109495.053</v>
      </c>
      <c r="AE102" s="274">
        <v>110804.519</v>
      </c>
      <c r="AF102" s="274">
        <v>111992.85799999999</v>
      </c>
      <c r="AG102" s="274">
        <v>113067.848</v>
      </c>
      <c r="AH102" s="274">
        <v>114054.587</v>
      </c>
      <c r="AI102" s="274">
        <v>114993.274</v>
      </c>
      <c r="AJ102" s="274">
        <v>115912.10400000001</v>
      </c>
      <c r="AK102" s="274">
        <v>116821.569</v>
      </c>
      <c r="AL102" s="274">
        <v>117708.91899999999</v>
      </c>
      <c r="AM102" s="274">
        <v>118552.09699999999</v>
      </c>
      <c r="AN102" s="274">
        <v>119318.921</v>
      </c>
      <c r="AO102" s="274">
        <v>119988.663</v>
      </c>
      <c r="AP102" s="274">
        <v>120551.455</v>
      </c>
      <c r="AQ102" s="274">
        <v>121021.83</v>
      </c>
      <c r="AR102" s="274">
        <v>121432.942</v>
      </c>
      <c r="AS102" s="274">
        <v>121831.143</v>
      </c>
      <c r="AT102" s="274">
        <v>122249.285</v>
      </c>
      <c r="AU102" s="274">
        <v>122702.527</v>
      </c>
      <c r="AV102" s="274">
        <v>123180.357</v>
      </c>
      <c r="AW102" s="274">
        <v>123658.85400000001</v>
      </c>
      <c r="AX102" s="274">
        <v>124101.546</v>
      </c>
      <c r="AY102" s="274">
        <v>124483.30499999999</v>
      </c>
      <c r="AZ102" s="274">
        <v>124794.817</v>
      </c>
      <c r="BA102" s="274">
        <v>125048.424</v>
      </c>
      <c r="BB102" s="274">
        <v>125266.40300000001</v>
      </c>
      <c r="BC102" s="274">
        <v>125481.05</v>
      </c>
      <c r="BD102" s="274">
        <v>125714.674</v>
      </c>
      <c r="BE102" s="274">
        <v>125974.298</v>
      </c>
      <c r="BF102" s="274">
        <v>126249.50900000001</v>
      </c>
      <c r="BG102" s="274">
        <v>126523.88400000001</v>
      </c>
      <c r="BH102" s="274">
        <v>126773.08100000001</v>
      </c>
      <c r="BI102" s="274">
        <v>126978.754</v>
      </c>
      <c r="BJ102" s="274">
        <v>127136.576</v>
      </c>
      <c r="BK102" s="274">
        <v>127250.015</v>
      </c>
      <c r="BL102" s="274">
        <v>127317.9</v>
      </c>
      <c r="BM102" s="274">
        <v>127340.88400000001</v>
      </c>
      <c r="BN102" s="274">
        <v>127319.802</v>
      </c>
      <c r="BO102" s="274">
        <v>127252.9</v>
      </c>
      <c r="BP102" s="274">
        <v>127139.821</v>
      </c>
      <c r="BQ102" s="274">
        <v>126984.96400000001</v>
      </c>
      <c r="BR102" s="274">
        <v>126794.564</v>
      </c>
      <c r="BS102" s="274">
        <v>126573.481</v>
      </c>
    </row>
    <row r="103" spans="1:71" x14ac:dyDescent="0.4">
      <c r="A103" s="270">
        <v>84</v>
      </c>
      <c r="B103" s="271" t="s">
        <v>890</v>
      </c>
      <c r="C103" s="276" t="s">
        <v>586</v>
      </c>
      <c r="D103" s="273"/>
      <c r="E103" s="273">
        <v>496</v>
      </c>
      <c r="F103" s="274">
        <v>780.2</v>
      </c>
      <c r="G103" s="274">
        <v>793.53700000000003</v>
      </c>
      <c r="H103" s="274">
        <v>807.92600000000004</v>
      </c>
      <c r="I103" s="274">
        <v>823.06</v>
      </c>
      <c r="J103" s="274">
        <v>838.78700000000003</v>
      </c>
      <c r="K103" s="274">
        <v>855.101</v>
      </c>
      <c r="L103" s="274">
        <v>872.16200000000003</v>
      </c>
      <c r="M103" s="274">
        <v>890.279</v>
      </c>
      <c r="N103" s="274">
        <v>909.88499999999999</v>
      </c>
      <c r="O103" s="274">
        <v>931.48500000000001</v>
      </c>
      <c r="P103" s="274">
        <v>955.51400000000001</v>
      </c>
      <c r="Q103" s="274">
        <v>982.18</v>
      </c>
      <c r="R103" s="274">
        <v>1011.328</v>
      </c>
      <c r="S103" s="274">
        <v>1042.383</v>
      </c>
      <c r="T103" s="274">
        <v>1074.5170000000001</v>
      </c>
      <c r="U103" s="274">
        <v>1107.125</v>
      </c>
      <c r="V103" s="274">
        <v>1139.96</v>
      </c>
      <c r="W103" s="274">
        <v>1173.1859999999999</v>
      </c>
      <c r="X103" s="274">
        <v>1207.1079999999999</v>
      </c>
      <c r="Y103" s="274">
        <v>1242.213</v>
      </c>
      <c r="Z103" s="274">
        <v>1278.825</v>
      </c>
      <c r="AA103" s="274">
        <v>1317.049</v>
      </c>
      <c r="AB103" s="274">
        <v>1356.6690000000001</v>
      </c>
      <c r="AC103" s="274">
        <v>1397.3050000000001</v>
      </c>
      <c r="AD103" s="274">
        <v>1438.423</v>
      </c>
      <c r="AE103" s="274">
        <v>1479.65</v>
      </c>
      <c r="AF103" s="274">
        <v>1520.865</v>
      </c>
      <c r="AG103" s="274">
        <v>1562.212</v>
      </c>
      <c r="AH103" s="274">
        <v>1603.9079999999999</v>
      </c>
      <c r="AI103" s="274">
        <v>1646.2909999999999</v>
      </c>
      <c r="AJ103" s="274">
        <v>1689.6220000000001</v>
      </c>
      <c r="AK103" s="274">
        <v>1733.479</v>
      </c>
      <c r="AL103" s="274">
        <v>1777.7270000000001</v>
      </c>
      <c r="AM103" s="274">
        <v>1823.2149999999999</v>
      </c>
      <c r="AN103" s="274">
        <v>1871.087</v>
      </c>
      <c r="AO103" s="274">
        <v>1921.885</v>
      </c>
      <c r="AP103" s="274">
        <v>1976.3109999999999</v>
      </c>
      <c r="AQ103" s="274">
        <v>2033.345</v>
      </c>
      <c r="AR103" s="274">
        <v>2089.7159999999999</v>
      </c>
      <c r="AS103" s="274">
        <v>2141.0059999999999</v>
      </c>
      <c r="AT103" s="274">
        <v>2184.145</v>
      </c>
      <c r="AU103" s="274">
        <v>2217.92</v>
      </c>
      <c r="AV103" s="274">
        <v>2243.5059999999999</v>
      </c>
      <c r="AW103" s="274">
        <v>2263.2040000000002</v>
      </c>
      <c r="AX103" s="274">
        <v>2280.4949999999999</v>
      </c>
      <c r="AY103" s="274">
        <v>2298.038</v>
      </c>
      <c r="AZ103" s="274">
        <v>2316.5709999999999</v>
      </c>
      <c r="BA103" s="274">
        <v>2335.694</v>
      </c>
      <c r="BB103" s="274">
        <v>2355.5880000000002</v>
      </c>
      <c r="BC103" s="274">
        <v>2376.165</v>
      </c>
      <c r="BD103" s="274">
        <v>2397.4380000000001</v>
      </c>
      <c r="BE103" s="274">
        <v>2419.7289999999998</v>
      </c>
      <c r="BF103" s="274">
        <v>2443.5030000000002</v>
      </c>
      <c r="BG103" s="274">
        <v>2469.0450000000001</v>
      </c>
      <c r="BH103" s="274">
        <v>2496.6210000000001</v>
      </c>
      <c r="BI103" s="274">
        <v>2526.4470000000001</v>
      </c>
      <c r="BJ103" s="274">
        <v>2558.4839999999999</v>
      </c>
      <c r="BK103" s="274">
        <v>2592.7759999999998</v>
      </c>
      <c r="BL103" s="274">
        <v>2629.6660000000002</v>
      </c>
      <c r="BM103" s="274">
        <v>2669.5720000000001</v>
      </c>
      <c r="BN103" s="274">
        <v>2712.6570000000002</v>
      </c>
      <c r="BO103" s="274">
        <v>2759.0740000000001</v>
      </c>
      <c r="BP103" s="274">
        <v>2808.3389999999999</v>
      </c>
      <c r="BQ103" s="274">
        <v>2859.174</v>
      </c>
      <c r="BR103" s="274">
        <v>2909.8710000000001</v>
      </c>
      <c r="BS103" s="274">
        <v>2959.134</v>
      </c>
    </row>
    <row r="104" spans="1:71" x14ac:dyDescent="0.4">
      <c r="A104" s="270">
        <v>85</v>
      </c>
      <c r="B104" s="271" t="s">
        <v>890</v>
      </c>
      <c r="C104" s="276" t="s">
        <v>674</v>
      </c>
      <c r="D104" s="273"/>
      <c r="E104" s="273">
        <v>410</v>
      </c>
      <c r="F104" s="274">
        <v>19211.385999999999</v>
      </c>
      <c r="G104" s="274">
        <v>19304.737000000001</v>
      </c>
      <c r="H104" s="274">
        <v>19566.86</v>
      </c>
      <c r="I104" s="274">
        <v>19979.069</v>
      </c>
      <c r="J104" s="274">
        <v>20520.600999999999</v>
      </c>
      <c r="K104" s="274">
        <v>21168.611000000001</v>
      </c>
      <c r="L104" s="274">
        <v>21897.911</v>
      </c>
      <c r="M104" s="274">
        <v>22681.233</v>
      </c>
      <c r="N104" s="274">
        <v>23490.026999999998</v>
      </c>
      <c r="O104" s="274">
        <v>24295.786</v>
      </c>
      <c r="P104" s="274">
        <v>25074.027999999998</v>
      </c>
      <c r="Q104" s="274">
        <v>25808.542000000001</v>
      </c>
      <c r="R104" s="274">
        <v>26495.107</v>
      </c>
      <c r="S104" s="274">
        <v>27143.075000000001</v>
      </c>
      <c r="T104" s="274">
        <v>27770.874</v>
      </c>
      <c r="U104" s="274">
        <v>28392.722000000002</v>
      </c>
      <c r="V104" s="274">
        <v>29006.181</v>
      </c>
      <c r="W104" s="274">
        <v>29606.633000000002</v>
      </c>
      <c r="X104" s="274">
        <v>30204.127</v>
      </c>
      <c r="Y104" s="274">
        <v>30811.523000000001</v>
      </c>
      <c r="Z104" s="274">
        <v>31437.141</v>
      </c>
      <c r="AA104" s="274">
        <v>32087.883999999998</v>
      </c>
      <c r="AB104" s="274">
        <v>32759.447</v>
      </c>
      <c r="AC104" s="274">
        <v>33435.267999999996</v>
      </c>
      <c r="AD104" s="274">
        <v>34091.815999999999</v>
      </c>
      <c r="AE104" s="274">
        <v>34713.078000000001</v>
      </c>
      <c r="AF104" s="274">
        <v>35290.737000000001</v>
      </c>
      <c r="AG104" s="274">
        <v>35832.213000000003</v>
      </c>
      <c r="AH104" s="274">
        <v>36356.186999999998</v>
      </c>
      <c r="AI104" s="274">
        <v>36889.650999999998</v>
      </c>
      <c r="AJ104" s="274">
        <v>37451.084999999999</v>
      </c>
      <c r="AK104" s="274">
        <v>38046.252999999997</v>
      </c>
      <c r="AL104" s="274">
        <v>38665.964</v>
      </c>
      <c r="AM104" s="274">
        <v>39295.417999999998</v>
      </c>
      <c r="AN104" s="274">
        <v>39912.9</v>
      </c>
      <c r="AO104" s="274">
        <v>40501.917000000001</v>
      </c>
      <c r="AP104" s="274">
        <v>41059.472999999998</v>
      </c>
      <c r="AQ104" s="274">
        <v>41588.374000000003</v>
      </c>
      <c r="AR104" s="274">
        <v>42085.05</v>
      </c>
      <c r="AS104" s="274">
        <v>42546.703999999998</v>
      </c>
      <c r="AT104" s="274">
        <v>42972.254000000001</v>
      </c>
      <c r="AU104" s="274">
        <v>43358.716</v>
      </c>
      <c r="AV104" s="274">
        <v>43708.17</v>
      </c>
      <c r="AW104" s="274">
        <v>44031.222000000002</v>
      </c>
      <c r="AX104" s="274">
        <v>44342.53</v>
      </c>
      <c r="AY104" s="274">
        <v>44652.993999999999</v>
      </c>
      <c r="AZ104" s="274">
        <v>44967.345999999998</v>
      </c>
      <c r="BA104" s="274">
        <v>45283.938999999998</v>
      </c>
      <c r="BB104" s="274">
        <v>45599.569000000003</v>
      </c>
      <c r="BC104" s="274">
        <v>45908.307000000001</v>
      </c>
      <c r="BD104" s="274">
        <v>46206.271000000001</v>
      </c>
      <c r="BE104" s="274">
        <v>46492.324000000001</v>
      </c>
      <c r="BF104" s="274">
        <v>46769.578999999998</v>
      </c>
      <c r="BG104" s="274">
        <v>47043.250999999997</v>
      </c>
      <c r="BH104" s="274">
        <v>47320.453999999998</v>
      </c>
      <c r="BI104" s="274">
        <v>47605.862999999998</v>
      </c>
      <c r="BJ104" s="274">
        <v>47901.642999999996</v>
      </c>
      <c r="BK104" s="274">
        <v>48205.061999999998</v>
      </c>
      <c r="BL104" s="274">
        <v>48509.841999999997</v>
      </c>
      <c r="BM104" s="274">
        <v>48807.036</v>
      </c>
      <c r="BN104" s="274">
        <v>49090.040999999997</v>
      </c>
      <c r="BO104" s="274">
        <v>49356.692000000003</v>
      </c>
      <c r="BP104" s="274">
        <v>49608.451000000001</v>
      </c>
      <c r="BQ104" s="274">
        <v>49846.756000000001</v>
      </c>
      <c r="BR104" s="274">
        <v>50074.400999999998</v>
      </c>
      <c r="BS104" s="274">
        <v>50293.438999999998</v>
      </c>
    </row>
    <row r="105" spans="1:71" x14ac:dyDescent="0.4">
      <c r="A105" s="270">
        <v>86</v>
      </c>
      <c r="B105" s="271" t="s">
        <v>890</v>
      </c>
      <c r="C105" s="276" t="s">
        <v>925</v>
      </c>
      <c r="D105" s="273"/>
      <c r="E105" s="273">
        <v>158</v>
      </c>
      <c r="F105" s="274">
        <v>7561.8630000000003</v>
      </c>
      <c r="G105" s="274">
        <v>7806.9380000000001</v>
      </c>
      <c r="H105" s="274">
        <v>8053.5690000000004</v>
      </c>
      <c r="I105" s="274">
        <v>8307.3520000000008</v>
      </c>
      <c r="J105" s="274">
        <v>8572.6309999999994</v>
      </c>
      <c r="K105" s="274">
        <v>8852.5</v>
      </c>
      <c r="L105" s="274">
        <v>9148.7569999999996</v>
      </c>
      <c r="M105" s="274">
        <v>9461.9500000000007</v>
      </c>
      <c r="N105" s="274">
        <v>9791.4989999999998</v>
      </c>
      <c r="O105" s="274">
        <v>10135.894</v>
      </c>
      <c r="P105" s="274">
        <v>10493.316000000001</v>
      </c>
      <c r="Q105" s="274">
        <v>10862.281999999999</v>
      </c>
      <c r="R105" s="274">
        <v>11242.221</v>
      </c>
      <c r="S105" s="274">
        <v>11633.716</v>
      </c>
      <c r="T105" s="274">
        <v>12037.811</v>
      </c>
      <c r="U105" s="274">
        <v>12453.974</v>
      </c>
      <c r="V105" s="274">
        <v>12884.384</v>
      </c>
      <c r="W105" s="274">
        <v>13325.128000000001</v>
      </c>
      <c r="X105" s="274">
        <v>13762.347</v>
      </c>
      <c r="Y105" s="274">
        <v>14177.772999999999</v>
      </c>
      <c r="Z105" s="274">
        <v>14559.097</v>
      </c>
      <c r="AA105" s="274">
        <v>14898.948</v>
      </c>
      <c r="AB105" s="274">
        <v>15202.694</v>
      </c>
      <c r="AC105" s="274">
        <v>15486.43</v>
      </c>
      <c r="AD105" s="274">
        <v>15773.495999999999</v>
      </c>
      <c r="AE105" s="274">
        <v>16080.317999999999</v>
      </c>
      <c r="AF105" s="274">
        <v>16412.024000000001</v>
      </c>
      <c r="AG105" s="274">
        <v>16762.038</v>
      </c>
      <c r="AH105" s="274">
        <v>17120.800999999999</v>
      </c>
      <c r="AI105" s="274">
        <v>17473.695</v>
      </c>
      <c r="AJ105" s="274">
        <v>17809.744999999999</v>
      </c>
      <c r="AK105" s="274">
        <v>18127.168000000001</v>
      </c>
      <c r="AL105" s="274">
        <v>18428.534</v>
      </c>
      <c r="AM105" s="274">
        <v>18712.421999999999</v>
      </c>
      <c r="AN105" s="274">
        <v>18978.106</v>
      </c>
      <c r="AO105" s="274">
        <v>19225.52</v>
      </c>
      <c r="AP105" s="274">
        <v>19453.067999999999</v>
      </c>
      <c r="AQ105" s="274">
        <v>19661.508999999998</v>
      </c>
      <c r="AR105" s="274">
        <v>19856.240000000002</v>
      </c>
      <c r="AS105" s="274">
        <v>20044.703000000001</v>
      </c>
      <c r="AT105" s="274">
        <v>20232.353999999999</v>
      </c>
      <c r="AU105" s="274">
        <v>20421.637999999999</v>
      </c>
      <c r="AV105" s="274">
        <v>20611.48</v>
      </c>
      <c r="AW105" s="274">
        <v>20799.526999999998</v>
      </c>
      <c r="AX105" s="274">
        <v>20981.827000000001</v>
      </c>
      <c r="AY105" s="274">
        <v>21155.721000000001</v>
      </c>
      <c r="AZ105" s="274">
        <v>21320.108</v>
      </c>
      <c r="BA105" s="274">
        <v>21476.641</v>
      </c>
      <c r="BB105" s="274">
        <v>21628.592000000001</v>
      </c>
      <c r="BC105" s="274">
        <v>21780.544000000002</v>
      </c>
      <c r="BD105" s="274">
        <v>21935.444</v>
      </c>
      <c r="BE105" s="274">
        <v>22094.394</v>
      </c>
      <c r="BF105" s="274">
        <v>22255.348999999998</v>
      </c>
      <c r="BG105" s="274">
        <v>22414.218000000001</v>
      </c>
      <c r="BH105" s="274">
        <v>22565.243999999999</v>
      </c>
      <c r="BI105" s="274">
        <v>22704.059000000001</v>
      </c>
      <c r="BJ105" s="274">
        <v>22829.587</v>
      </c>
      <c r="BK105" s="274">
        <v>22942.424999999999</v>
      </c>
      <c r="BL105" s="274">
        <v>23041.953000000001</v>
      </c>
      <c r="BM105" s="274">
        <v>23127.929</v>
      </c>
      <c r="BN105" s="274">
        <v>23200.404999999999</v>
      </c>
      <c r="BO105" s="274">
        <v>23258.787</v>
      </c>
      <c r="BP105" s="274">
        <v>23303.446</v>
      </c>
      <c r="BQ105" s="274">
        <v>23336.703000000001</v>
      </c>
      <c r="BR105" s="274">
        <v>23361.753000000001</v>
      </c>
      <c r="BS105" s="274">
        <v>23381.038</v>
      </c>
    </row>
    <row r="106" spans="1:71" x14ac:dyDescent="0.4">
      <c r="A106" s="270">
        <v>87</v>
      </c>
      <c r="B106" s="271" t="s">
        <v>890</v>
      </c>
      <c r="C106" s="277" t="s">
        <v>926</v>
      </c>
      <c r="D106" s="273">
        <v>7</v>
      </c>
      <c r="E106" s="273">
        <v>921</v>
      </c>
      <c r="F106" s="274">
        <v>511574.18199999997</v>
      </c>
      <c r="G106" s="274">
        <v>519888.11499999999</v>
      </c>
      <c r="H106" s="274">
        <v>528761.66399999999</v>
      </c>
      <c r="I106" s="274">
        <v>538178.12300000002</v>
      </c>
      <c r="J106" s="274">
        <v>548124.01500000001</v>
      </c>
      <c r="K106" s="274">
        <v>558589.05599999998</v>
      </c>
      <c r="L106" s="274">
        <v>569566.353</v>
      </c>
      <c r="M106" s="274">
        <v>581052.22100000002</v>
      </c>
      <c r="N106" s="274">
        <v>593045.69700000004</v>
      </c>
      <c r="O106" s="274">
        <v>605547.72199999995</v>
      </c>
      <c r="P106" s="274">
        <v>618558.70900000003</v>
      </c>
      <c r="Q106" s="274">
        <v>632075.89</v>
      </c>
      <c r="R106" s="274">
        <v>646091.06299999997</v>
      </c>
      <c r="S106" s="274">
        <v>660589.61</v>
      </c>
      <c r="T106" s="274">
        <v>675553.24800000002</v>
      </c>
      <c r="U106" s="274">
        <v>690968.22699999996</v>
      </c>
      <c r="V106" s="274">
        <v>706837.63699999999</v>
      </c>
      <c r="W106" s="274">
        <v>723164.21400000004</v>
      </c>
      <c r="X106" s="274">
        <v>739935.16299999994</v>
      </c>
      <c r="Y106" s="274">
        <v>757134.95200000005</v>
      </c>
      <c r="Z106" s="274">
        <v>774758.47100000002</v>
      </c>
      <c r="AA106" s="274">
        <v>792798.29599999997</v>
      </c>
      <c r="AB106" s="274">
        <v>811274.92200000002</v>
      </c>
      <c r="AC106" s="274">
        <v>830246.04</v>
      </c>
      <c r="AD106" s="274">
        <v>849788.603</v>
      </c>
      <c r="AE106" s="274">
        <v>869959.68099999998</v>
      </c>
      <c r="AF106" s="274">
        <v>890767.90599999996</v>
      </c>
      <c r="AG106" s="274">
        <v>912201.63</v>
      </c>
      <c r="AH106" s="274">
        <v>934270.10699999996</v>
      </c>
      <c r="AI106" s="274">
        <v>956978.23800000001</v>
      </c>
      <c r="AJ106" s="274">
        <v>980320.05500000005</v>
      </c>
      <c r="AK106" s="274">
        <v>1004276.928</v>
      </c>
      <c r="AL106" s="274">
        <v>1028817.03</v>
      </c>
      <c r="AM106" s="274">
        <v>1053899.1340000001</v>
      </c>
      <c r="AN106" s="274">
        <v>1079471.8910000001</v>
      </c>
      <c r="AO106" s="274">
        <v>1105478.1669999999</v>
      </c>
      <c r="AP106" s="274">
        <v>1131905.577</v>
      </c>
      <c r="AQ106" s="274">
        <v>1158699.1429999999</v>
      </c>
      <c r="AR106" s="274">
        <v>1185707.568</v>
      </c>
      <c r="AS106" s="274">
        <v>1212742.2150000001</v>
      </c>
      <c r="AT106" s="274">
        <v>1239665.5689999999</v>
      </c>
      <c r="AU106" s="274">
        <v>1266394.068</v>
      </c>
      <c r="AV106" s="274">
        <v>1292944.2080000001</v>
      </c>
      <c r="AW106" s="274">
        <v>1319403.419</v>
      </c>
      <c r="AX106" s="274">
        <v>1345914.0719999999</v>
      </c>
      <c r="AY106" s="274">
        <v>1372573.804</v>
      </c>
      <c r="AZ106" s="274">
        <v>1399390.4029999999</v>
      </c>
      <c r="BA106" s="274">
        <v>1426304.4609999999</v>
      </c>
      <c r="BB106" s="274">
        <v>1453265.692</v>
      </c>
      <c r="BC106" s="274">
        <v>1480201.2290000001</v>
      </c>
      <c r="BD106" s="274">
        <v>1507050.173</v>
      </c>
      <c r="BE106" s="274">
        <v>1533809.9939999999</v>
      </c>
      <c r="BF106" s="274">
        <v>1560473.969</v>
      </c>
      <c r="BG106" s="274">
        <v>1586972.77</v>
      </c>
      <c r="BH106" s="274">
        <v>1613221.9620000001</v>
      </c>
      <c r="BI106" s="274">
        <v>1639167.057</v>
      </c>
      <c r="BJ106" s="274">
        <v>1664766.1839999999</v>
      </c>
      <c r="BK106" s="274">
        <v>1690046.95</v>
      </c>
      <c r="BL106" s="274">
        <v>1715111.0889999999</v>
      </c>
      <c r="BM106" s="274">
        <v>1740104.051</v>
      </c>
      <c r="BN106" s="274">
        <v>1765129.4680000001</v>
      </c>
      <c r="BO106" s="274">
        <v>1790207.6580000001</v>
      </c>
      <c r="BP106" s="274">
        <v>1815299.9669999999</v>
      </c>
      <c r="BQ106" s="274">
        <v>1840377.1340000001</v>
      </c>
      <c r="BR106" s="274">
        <v>1865388.8089999999</v>
      </c>
      <c r="BS106" s="274">
        <v>1890288.1070000001</v>
      </c>
    </row>
    <row r="107" spans="1:71" x14ac:dyDescent="0.4">
      <c r="A107" s="270">
        <v>88</v>
      </c>
      <c r="B107" s="271" t="s">
        <v>890</v>
      </c>
      <c r="C107" s="277" t="s">
        <v>927</v>
      </c>
      <c r="D107" s="273"/>
      <c r="E107" s="273">
        <v>5500</v>
      </c>
      <c r="F107" s="274">
        <v>18130.895</v>
      </c>
      <c r="G107" s="274">
        <v>18503.272000000001</v>
      </c>
      <c r="H107" s="274">
        <v>18975.931</v>
      </c>
      <c r="I107" s="274">
        <v>19526.324000000001</v>
      </c>
      <c r="J107" s="274">
        <v>20136.495999999999</v>
      </c>
      <c r="K107" s="274">
        <v>20793.087</v>
      </c>
      <c r="L107" s="274">
        <v>21487.558000000001</v>
      </c>
      <c r="M107" s="274">
        <v>22215.963</v>
      </c>
      <c r="N107" s="274">
        <v>22978.294000000002</v>
      </c>
      <c r="O107" s="274">
        <v>23777.366000000002</v>
      </c>
      <c r="P107" s="274">
        <v>24615.525000000001</v>
      </c>
      <c r="Q107" s="274">
        <v>25491.1</v>
      </c>
      <c r="R107" s="274">
        <v>26395.322</v>
      </c>
      <c r="S107" s="274">
        <v>27311.003000000001</v>
      </c>
      <c r="T107" s="274">
        <v>28216.277999999998</v>
      </c>
      <c r="U107" s="274">
        <v>29095.645</v>
      </c>
      <c r="V107" s="274">
        <v>29940.05</v>
      </c>
      <c r="W107" s="274">
        <v>30753.11</v>
      </c>
      <c r="X107" s="274">
        <v>31547.748</v>
      </c>
      <c r="Y107" s="274">
        <v>32343.898000000001</v>
      </c>
      <c r="Z107" s="274">
        <v>33155.57</v>
      </c>
      <c r="AA107" s="274">
        <v>33988.394999999997</v>
      </c>
      <c r="AB107" s="274">
        <v>34836.544999999998</v>
      </c>
      <c r="AC107" s="274">
        <v>35689.123</v>
      </c>
      <c r="AD107" s="274">
        <v>36530.053</v>
      </c>
      <c r="AE107" s="274">
        <v>37348.824999999997</v>
      </c>
      <c r="AF107" s="274">
        <v>38141.103000000003</v>
      </c>
      <c r="AG107" s="274">
        <v>38913.853999999999</v>
      </c>
      <c r="AH107" s="274">
        <v>39681.514999999999</v>
      </c>
      <c r="AI107" s="274">
        <v>40464.387999999999</v>
      </c>
      <c r="AJ107" s="274">
        <v>41277.031000000003</v>
      </c>
      <c r="AK107" s="274">
        <v>42119.078999999998</v>
      </c>
      <c r="AL107" s="274">
        <v>42984.866999999998</v>
      </c>
      <c r="AM107" s="274">
        <v>43876.381999999998</v>
      </c>
      <c r="AN107" s="274">
        <v>44794.919000000002</v>
      </c>
      <c r="AO107" s="274">
        <v>45737.83</v>
      </c>
      <c r="AP107" s="274">
        <v>46709.762999999999</v>
      </c>
      <c r="AQ107" s="274">
        <v>47700.798000000003</v>
      </c>
      <c r="AR107" s="274">
        <v>48675.733999999997</v>
      </c>
      <c r="AS107" s="274">
        <v>49588.148999999998</v>
      </c>
      <c r="AT107" s="274">
        <v>50405.063000000002</v>
      </c>
      <c r="AU107" s="274">
        <v>51116.26</v>
      </c>
      <c r="AV107" s="274">
        <v>51731.995999999999</v>
      </c>
      <c r="AW107" s="274">
        <v>52266.04</v>
      </c>
      <c r="AX107" s="274">
        <v>52741.31</v>
      </c>
      <c r="AY107" s="274">
        <v>53177.843999999997</v>
      </c>
      <c r="AZ107" s="274">
        <v>53578.654999999999</v>
      </c>
      <c r="BA107" s="274">
        <v>53947.940999999999</v>
      </c>
      <c r="BB107" s="274">
        <v>54309.336000000003</v>
      </c>
      <c r="BC107" s="274">
        <v>54691.748</v>
      </c>
      <c r="BD107" s="274">
        <v>55117.411999999997</v>
      </c>
      <c r="BE107" s="274">
        <v>55597.877999999997</v>
      </c>
      <c r="BF107" s="274">
        <v>56134.21</v>
      </c>
      <c r="BG107" s="274">
        <v>56724.644999999997</v>
      </c>
      <c r="BH107" s="274">
        <v>57362.5</v>
      </c>
      <c r="BI107" s="274">
        <v>58042.955000000002</v>
      </c>
      <c r="BJ107" s="274">
        <v>58763.822999999997</v>
      </c>
      <c r="BK107" s="274">
        <v>59528.135999999999</v>
      </c>
      <c r="BL107" s="274">
        <v>60341.336000000003</v>
      </c>
      <c r="BM107" s="274">
        <v>61210.695</v>
      </c>
      <c r="BN107" s="274">
        <v>62138.646000000001</v>
      </c>
      <c r="BO107" s="274">
        <v>63127.124000000003</v>
      </c>
      <c r="BP107" s="274">
        <v>64166.006000000001</v>
      </c>
      <c r="BQ107" s="274">
        <v>65230.587</v>
      </c>
      <c r="BR107" s="274">
        <v>66288.179000000004</v>
      </c>
      <c r="BS107" s="274">
        <v>67314.032999999996</v>
      </c>
    </row>
    <row r="108" spans="1:71" x14ac:dyDescent="0.4">
      <c r="A108" s="270">
        <v>89</v>
      </c>
      <c r="B108" s="271" t="s">
        <v>890</v>
      </c>
      <c r="C108" s="276" t="s">
        <v>494</v>
      </c>
      <c r="D108" s="273"/>
      <c r="E108" s="273">
        <v>398</v>
      </c>
      <c r="F108" s="274">
        <v>6702.9960000000001</v>
      </c>
      <c r="G108" s="274">
        <v>6831.1580000000004</v>
      </c>
      <c r="H108" s="274">
        <v>7041.6049999999996</v>
      </c>
      <c r="I108" s="274">
        <v>7315.5069999999996</v>
      </c>
      <c r="J108" s="274">
        <v>7636.7650000000003</v>
      </c>
      <c r="K108" s="274">
        <v>7992.0020000000004</v>
      </c>
      <c r="L108" s="274">
        <v>8370.6740000000009</v>
      </c>
      <c r="M108" s="274">
        <v>8764.9609999999993</v>
      </c>
      <c r="N108" s="274">
        <v>9169.4840000000004</v>
      </c>
      <c r="O108" s="274">
        <v>9580.8089999999993</v>
      </c>
      <c r="P108" s="274">
        <v>9995.9969999999994</v>
      </c>
      <c r="Q108" s="274">
        <v>10411.040000000001</v>
      </c>
      <c r="R108" s="274">
        <v>10819.503000000001</v>
      </c>
      <c r="S108" s="274">
        <v>11211.938</v>
      </c>
      <c r="T108" s="274">
        <v>11577.537</v>
      </c>
      <c r="U108" s="274">
        <v>11909.001</v>
      </c>
      <c r="V108" s="274">
        <v>12200.891</v>
      </c>
      <c r="W108" s="274">
        <v>12455.366</v>
      </c>
      <c r="X108" s="274">
        <v>12682.451999999999</v>
      </c>
      <c r="Y108" s="274">
        <v>12897.025</v>
      </c>
      <c r="Z108" s="274">
        <v>13109.992</v>
      </c>
      <c r="AA108" s="274">
        <v>13325.342000000001</v>
      </c>
      <c r="AB108" s="274">
        <v>13540.300999999999</v>
      </c>
      <c r="AC108" s="274">
        <v>13751.019</v>
      </c>
      <c r="AD108" s="274">
        <v>13950.986999999999</v>
      </c>
      <c r="AE108" s="274">
        <v>14136.005999999999</v>
      </c>
      <c r="AF108" s="274">
        <v>14304.946</v>
      </c>
      <c r="AG108" s="274">
        <v>14461.278</v>
      </c>
      <c r="AH108" s="274">
        <v>14610.81</v>
      </c>
      <c r="AI108" s="274">
        <v>14761.509</v>
      </c>
      <c r="AJ108" s="274">
        <v>14918.991</v>
      </c>
      <c r="AK108" s="274">
        <v>15082.184999999999</v>
      </c>
      <c r="AL108" s="274">
        <v>15248.458000000001</v>
      </c>
      <c r="AM108" s="274">
        <v>15419.451999999999</v>
      </c>
      <c r="AN108" s="274">
        <v>15596.92</v>
      </c>
      <c r="AO108" s="274">
        <v>15780.002</v>
      </c>
      <c r="AP108" s="274">
        <v>15972.36</v>
      </c>
      <c r="AQ108" s="274">
        <v>16167.925999999999</v>
      </c>
      <c r="AR108" s="274">
        <v>16344.308000000001</v>
      </c>
      <c r="AS108" s="274">
        <v>16471.843000000001</v>
      </c>
      <c r="AT108" s="274">
        <v>16530.026999999998</v>
      </c>
      <c r="AU108" s="274">
        <v>16514.269</v>
      </c>
      <c r="AV108" s="274">
        <v>16433.379000000001</v>
      </c>
      <c r="AW108" s="274">
        <v>16297.681</v>
      </c>
      <c r="AX108" s="274">
        <v>16123.445</v>
      </c>
      <c r="AY108" s="274">
        <v>15925.913</v>
      </c>
      <c r="AZ108" s="274">
        <v>15704.673000000001</v>
      </c>
      <c r="BA108" s="274">
        <v>15465.648999999999</v>
      </c>
      <c r="BB108" s="274">
        <v>15238.339</v>
      </c>
      <c r="BC108" s="274">
        <v>15059.994000000001</v>
      </c>
      <c r="BD108" s="274">
        <v>14956.769</v>
      </c>
      <c r="BE108" s="274">
        <v>14942.788</v>
      </c>
      <c r="BF108" s="274">
        <v>15010.919</v>
      </c>
      <c r="BG108" s="274">
        <v>15139.324000000001</v>
      </c>
      <c r="BH108" s="274">
        <v>15294.474</v>
      </c>
      <c r="BI108" s="274">
        <v>15451.752</v>
      </c>
      <c r="BJ108" s="274">
        <v>15603.072</v>
      </c>
      <c r="BK108" s="274">
        <v>15755.242</v>
      </c>
      <c r="BL108" s="274">
        <v>15915.966</v>
      </c>
      <c r="BM108" s="274">
        <v>16098.356</v>
      </c>
      <c r="BN108" s="274">
        <v>16310.624</v>
      </c>
      <c r="BO108" s="274">
        <v>16554.305</v>
      </c>
      <c r="BP108" s="274">
        <v>16821.455000000002</v>
      </c>
      <c r="BQ108" s="274">
        <v>17099.545999999998</v>
      </c>
      <c r="BR108" s="274">
        <v>17371.620999999999</v>
      </c>
      <c r="BS108" s="274">
        <v>17625.225999999999</v>
      </c>
    </row>
    <row r="109" spans="1:71" x14ac:dyDescent="0.4">
      <c r="A109" s="270">
        <v>90</v>
      </c>
      <c r="B109" s="271" t="s">
        <v>890</v>
      </c>
      <c r="C109" s="276" t="s">
        <v>508</v>
      </c>
      <c r="D109" s="273"/>
      <c r="E109" s="273">
        <v>417</v>
      </c>
      <c r="F109" s="274">
        <v>1740</v>
      </c>
      <c r="G109" s="274">
        <v>1763.2260000000001</v>
      </c>
      <c r="H109" s="274">
        <v>1791.952</v>
      </c>
      <c r="I109" s="274">
        <v>1825.123</v>
      </c>
      <c r="J109" s="274">
        <v>1862.068</v>
      </c>
      <c r="K109" s="274">
        <v>1902.499</v>
      </c>
      <c r="L109" s="274">
        <v>1946.54</v>
      </c>
      <c r="M109" s="274">
        <v>1994.6969999999999</v>
      </c>
      <c r="N109" s="274">
        <v>2047.7840000000001</v>
      </c>
      <c r="O109" s="274">
        <v>2106.7919999999999</v>
      </c>
      <c r="P109" s="274">
        <v>2172.5</v>
      </c>
      <c r="Q109" s="274">
        <v>2245.0619999999999</v>
      </c>
      <c r="R109" s="274">
        <v>2323.6419999999998</v>
      </c>
      <c r="S109" s="274">
        <v>2406.2629999999999</v>
      </c>
      <c r="T109" s="274">
        <v>2490.2440000000001</v>
      </c>
      <c r="U109" s="274">
        <v>2573.4940000000001</v>
      </c>
      <c r="V109" s="274">
        <v>2655.3490000000002</v>
      </c>
      <c r="W109" s="274">
        <v>2735.8380000000002</v>
      </c>
      <c r="X109" s="274">
        <v>2814.4229999999998</v>
      </c>
      <c r="Y109" s="274">
        <v>2890.72</v>
      </c>
      <c r="Z109" s="274">
        <v>2964.4989999999998</v>
      </c>
      <c r="AA109" s="274">
        <v>3035.4740000000002</v>
      </c>
      <c r="AB109" s="274">
        <v>3103.694</v>
      </c>
      <c r="AC109" s="274">
        <v>3169.7710000000002</v>
      </c>
      <c r="AD109" s="274">
        <v>3234.6109999999999</v>
      </c>
      <c r="AE109" s="274">
        <v>3299.0010000000002</v>
      </c>
      <c r="AF109" s="274">
        <v>3362.9609999999998</v>
      </c>
      <c r="AG109" s="274">
        <v>3426.6460000000002</v>
      </c>
      <c r="AH109" s="274">
        <v>3491.143</v>
      </c>
      <c r="AI109" s="274">
        <v>3557.7930000000001</v>
      </c>
      <c r="AJ109" s="274">
        <v>3627.4989999999998</v>
      </c>
      <c r="AK109" s="274">
        <v>3700.3119999999999</v>
      </c>
      <c r="AL109" s="274">
        <v>3775.7640000000001</v>
      </c>
      <c r="AM109" s="274">
        <v>3853.5140000000001</v>
      </c>
      <c r="AN109" s="274">
        <v>3933.002</v>
      </c>
      <c r="AO109" s="274">
        <v>4013.498</v>
      </c>
      <c r="AP109" s="274">
        <v>4095.873</v>
      </c>
      <c r="AQ109" s="274">
        <v>4179.4840000000004</v>
      </c>
      <c r="AR109" s="274">
        <v>4260.3249999999998</v>
      </c>
      <c r="AS109" s="274">
        <v>4333.1139999999996</v>
      </c>
      <c r="AT109" s="274">
        <v>4394.5020000000004</v>
      </c>
      <c r="AU109" s="274">
        <v>4441.78</v>
      </c>
      <c r="AV109" s="274">
        <v>4477.0379999999996</v>
      </c>
      <c r="AW109" s="274">
        <v>4507.5649999999996</v>
      </c>
      <c r="AX109" s="274">
        <v>4543.6019999999999</v>
      </c>
      <c r="AY109" s="274">
        <v>4592.1350000000002</v>
      </c>
      <c r="AZ109" s="274">
        <v>4656.8940000000002</v>
      </c>
      <c r="BA109" s="274">
        <v>4734.7610000000004</v>
      </c>
      <c r="BB109" s="274">
        <v>4817.6080000000002</v>
      </c>
      <c r="BC109" s="274">
        <v>4893.6580000000004</v>
      </c>
      <c r="BD109" s="274">
        <v>4954.8500000000004</v>
      </c>
      <c r="BE109" s="274">
        <v>4998.2860000000001</v>
      </c>
      <c r="BF109" s="274">
        <v>5027.9189999999999</v>
      </c>
      <c r="BG109" s="274">
        <v>5050.8670000000002</v>
      </c>
      <c r="BH109" s="274">
        <v>5077.5150000000003</v>
      </c>
      <c r="BI109" s="274">
        <v>5115.47</v>
      </c>
      <c r="BJ109" s="274">
        <v>5166.6440000000002</v>
      </c>
      <c r="BK109" s="274">
        <v>5228.9369999999999</v>
      </c>
      <c r="BL109" s="274">
        <v>5301.0379999999996</v>
      </c>
      <c r="BM109" s="274">
        <v>5380.31</v>
      </c>
      <c r="BN109" s="274">
        <v>5464.567</v>
      </c>
      <c r="BO109" s="274">
        <v>5553.8270000000002</v>
      </c>
      <c r="BP109" s="274">
        <v>5648.23</v>
      </c>
      <c r="BQ109" s="274">
        <v>5745.6980000000003</v>
      </c>
      <c r="BR109" s="274">
        <v>5843.6170000000002</v>
      </c>
      <c r="BS109" s="274">
        <v>5939.9620000000004</v>
      </c>
    </row>
    <row r="110" spans="1:71" x14ac:dyDescent="0.4">
      <c r="A110" s="270">
        <v>91</v>
      </c>
      <c r="B110" s="271" t="s">
        <v>890</v>
      </c>
      <c r="C110" s="276" t="s">
        <v>786</v>
      </c>
      <c r="D110" s="273"/>
      <c r="E110" s="273">
        <v>762</v>
      </c>
      <c r="F110" s="274">
        <v>1531.502</v>
      </c>
      <c r="G110" s="274">
        <v>1576.454</v>
      </c>
      <c r="H110" s="274">
        <v>1624.5419999999999</v>
      </c>
      <c r="I110" s="274">
        <v>1674.117</v>
      </c>
      <c r="J110" s="274">
        <v>1724.204</v>
      </c>
      <c r="K110" s="274">
        <v>1774.5039999999999</v>
      </c>
      <c r="L110" s="274">
        <v>1825.4369999999999</v>
      </c>
      <c r="M110" s="274">
        <v>1878.098</v>
      </c>
      <c r="N110" s="274">
        <v>1934.134</v>
      </c>
      <c r="O110" s="274">
        <v>1995.539</v>
      </c>
      <c r="P110" s="274">
        <v>2064.0349999999999</v>
      </c>
      <c r="Q110" s="274">
        <v>2140.413</v>
      </c>
      <c r="R110" s="274">
        <v>2223.9560000000001</v>
      </c>
      <c r="S110" s="274">
        <v>2312.1930000000002</v>
      </c>
      <c r="T110" s="274">
        <v>2401.598</v>
      </c>
      <c r="U110" s="274">
        <v>2489.6480000000001</v>
      </c>
      <c r="V110" s="274">
        <v>2575.335</v>
      </c>
      <c r="W110" s="274">
        <v>2659.4520000000002</v>
      </c>
      <c r="X110" s="274">
        <v>2743.4609999999998</v>
      </c>
      <c r="Y110" s="274">
        <v>2829.6410000000001</v>
      </c>
      <c r="Z110" s="274">
        <v>2919.5859999999998</v>
      </c>
      <c r="AA110" s="274">
        <v>3013.9560000000001</v>
      </c>
      <c r="AB110" s="274">
        <v>3112.0410000000002</v>
      </c>
      <c r="AC110" s="274">
        <v>3212.4459999999999</v>
      </c>
      <c r="AD110" s="274">
        <v>3313.1439999999998</v>
      </c>
      <c r="AE110" s="274">
        <v>3412.819</v>
      </c>
      <c r="AF110" s="274">
        <v>3511.05</v>
      </c>
      <c r="AG110" s="274">
        <v>3608.761</v>
      </c>
      <c r="AH110" s="274">
        <v>3707.6239999999998</v>
      </c>
      <c r="AI110" s="274">
        <v>3809.991</v>
      </c>
      <c r="AJ110" s="274">
        <v>3917.6419999999998</v>
      </c>
      <c r="AK110" s="274">
        <v>4030.1039999999998</v>
      </c>
      <c r="AL110" s="274">
        <v>4146.9229999999998</v>
      </c>
      <c r="AM110" s="274">
        <v>4269.7749999999996</v>
      </c>
      <c r="AN110" s="274">
        <v>4400.7430000000004</v>
      </c>
      <c r="AO110" s="274">
        <v>4540.6880000000001</v>
      </c>
      <c r="AP110" s="274">
        <v>4690.9129999999996</v>
      </c>
      <c r="AQ110" s="274">
        <v>4849.2529999999997</v>
      </c>
      <c r="AR110" s="274">
        <v>5008.8270000000002</v>
      </c>
      <c r="AS110" s="274">
        <v>5160.375</v>
      </c>
      <c r="AT110" s="274">
        <v>5297.2860000000001</v>
      </c>
      <c r="AU110" s="274">
        <v>5417.5540000000001</v>
      </c>
      <c r="AV110" s="274">
        <v>5523.2070000000003</v>
      </c>
      <c r="AW110" s="274">
        <v>5616.7969999999996</v>
      </c>
      <c r="AX110" s="274">
        <v>5702.6109999999999</v>
      </c>
      <c r="AY110" s="274">
        <v>5784.33</v>
      </c>
      <c r="AZ110" s="274">
        <v>5862.2240000000002</v>
      </c>
      <c r="BA110" s="274">
        <v>5936.78</v>
      </c>
      <c r="BB110" s="274">
        <v>6012.308</v>
      </c>
      <c r="BC110" s="274">
        <v>6094.1260000000002</v>
      </c>
      <c r="BD110" s="274">
        <v>6186.152</v>
      </c>
      <c r="BE110" s="274">
        <v>6290.4129999999996</v>
      </c>
      <c r="BF110" s="274">
        <v>6406.518</v>
      </c>
      <c r="BG110" s="274">
        <v>6532.8710000000001</v>
      </c>
      <c r="BH110" s="274">
        <v>6666.6279999999997</v>
      </c>
      <c r="BI110" s="274">
        <v>6805.6549999999997</v>
      </c>
      <c r="BJ110" s="274">
        <v>6949.5659999999998</v>
      </c>
      <c r="BK110" s="274">
        <v>7099.0209999999997</v>
      </c>
      <c r="BL110" s="274">
        <v>7254.0720000000001</v>
      </c>
      <c r="BM110" s="274">
        <v>7414.96</v>
      </c>
      <c r="BN110" s="274">
        <v>7581.6959999999999</v>
      </c>
      <c r="BO110" s="274">
        <v>7753.9250000000002</v>
      </c>
      <c r="BP110" s="274">
        <v>7930.9290000000001</v>
      </c>
      <c r="BQ110" s="274">
        <v>8111.8940000000002</v>
      </c>
      <c r="BR110" s="274">
        <v>8295.84</v>
      </c>
      <c r="BS110" s="274">
        <v>8481.8549999999996</v>
      </c>
    </row>
    <row r="111" spans="1:71" x14ac:dyDescent="0.4">
      <c r="A111" s="270">
        <v>92</v>
      </c>
      <c r="B111" s="271" t="s">
        <v>890</v>
      </c>
      <c r="C111" s="276" t="s">
        <v>817</v>
      </c>
      <c r="D111" s="273"/>
      <c r="E111" s="273">
        <v>795</v>
      </c>
      <c r="F111" s="274">
        <v>1211</v>
      </c>
      <c r="G111" s="274">
        <v>1228.3779999999999</v>
      </c>
      <c r="H111" s="274">
        <v>1252.6600000000001</v>
      </c>
      <c r="I111" s="274">
        <v>1282.5840000000001</v>
      </c>
      <c r="J111" s="274">
        <v>1317.126</v>
      </c>
      <c r="K111" s="274">
        <v>1355.501</v>
      </c>
      <c r="L111" s="274">
        <v>1397.172</v>
      </c>
      <c r="M111" s="274">
        <v>1441.8430000000001</v>
      </c>
      <c r="N111" s="274">
        <v>1489.4179999999999</v>
      </c>
      <c r="O111" s="274">
        <v>1539.9549999999999</v>
      </c>
      <c r="P111" s="274">
        <v>1593.501</v>
      </c>
      <c r="Q111" s="274">
        <v>1649.914</v>
      </c>
      <c r="R111" s="274">
        <v>1708.711</v>
      </c>
      <c r="S111" s="274">
        <v>1769.008</v>
      </c>
      <c r="T111" s="274">
        <v>1829.6969999999999</v>
      </c>
      <c r="U111" s="274">
        <v>1890</v>
      </c>
      <c r="V111" s="274">
        <v>1949.425</v>
      </c>
      <c r="W111" s="274">
        <v>2008.1479999999999</v>
      </c>
      <c r="X111" s="274">
        <v>2066.8890000000001</v>
      </c>
      <c r="Y111" s="274">
        <v>2126.7489999999998</v>
      </c>
      <c r="Z111" s="274">
        <v>2188.4989999999998</v>
      </c>
      <c r="AA111" s="274">
        <v>2252.386</v>
      </c>
      <c r="AB111" s="274">
        <v>2318.0700000000002</v>
      </c>
      <c r="AC111" s="274">
        <v>2385.0390000000002</v>
      </c>
      <c r="AD111" s="274">
        <v>2452.5279999999998</v>
      </c>
      <c r="AE111" s="274">
        <v>2520.002</v>
      </c>
      <c r="AF111" s="274">
        <v>2587.4169999999999</v>
      </c>
      <c r="AG111" s="274">
        <v>2655.0360000000001</v>
      </c>
      <c r="AH111" s="274">
        <v>2723.0059999999999</v>
      </c>
      <c r="AI111" s="274">
        <v>2791.5749999999998</v>
      </c>
      <c r="AJ111" s="274">
        <v>2861</v>
      </c>
      <c r="AK111" s="274">
        <v>2931.3429999999998</v>
      </c>
      <c r="AL111" s="274">
        <v>3002.7849999999999</v>
      </c>
      <c r="AM111" s="274">
        <v>3075.8670000000002</v>
      </c>
      <c r="AN111" s="274">
        <v>3151.2620000000002</v>
      </c>
      <c r="AO111" s="274">
        <v>3229.4989999999998</v>
      </c>
      <c r="AP111" s="274">
        <v>3310.0590000000002</v>
      </c>
      <c r="AQ111" s="274">
        <v>3392.8229999999999</v>
      </c>
      <c r="AR111" s="274">
        <v>3479.0880000000002</v>
      </c>
      <c r="AS111" s="274">
        <v>3570.558</v>
      </c>
      <c r="AT111" s="274">
        <v>3668</v>
      </c>
      <c r="AU111" s="274">
        <v>3772.35</v>
      </c>
      <c r="AV111" s="274">
        <v>3881.973</v>
      </c>
      <c r="AW111" s="274">
        <v>3991.9169999999999</v>
      </c>
      <c r="AX111" s="274">
        <v>4095.5120000000002</v>
      </c>
      <c r="AY111" s="274">
        <v>4188.01</v>
      </c>
      <c r="AZ111" s="274">
        <v>4267.6899999999996</v>
      </c>
      <c r="BA111" s="274">
        <v>4335.991</v>
      </c>
      <c r="BB111" s="274">
        <v>4395.2929999999997</v>
      </c>
      <c r="BC111" s="274">
        <v>4449.4269999999997</v>
      </c>
      <c r="BD111" s="274">
        <v>4501.4189999999999</v>
      </c>
      <c r="BE111" s="274">
        <v>4551.7619999999997</v>
      </c>
      <c r="BF111" s="274">
        <v>4600.1719999999996</v>
      </c>
      <c r="BG111" s="274">
        <v>4648.0360000000001</v>
      </c>
      <c r="BH111" s="274">
        <v>4696.8760000000002</v>
      </c>
      <c r="BI111" s="274">
        <v>4747.8389999999999</v>
      </c>
      <c r="BJ111" s="274">
        <v>4801.5940000000001</v>
      </c>
      <c r="BK111" s="274">
        <v>4858.2349999999997</v>
      </c>
      <c r="BL111" s="274">
        <v>4917.5410000000002</v>
      </c>
      <c r="BM111" s="274">
        <v>4978.96</v>
      </c>
      <c r="BN111" s="274">
        <v>5041.9949999999999</v>
      </c>
      <c r="BO111" s="274">
        <v>5106.6719999999996</v>
      </c>
      <c r="BP111" s="274">
        <v>5172.9409999999998</v>
      </c>
      <c r="BQ111" s="274">
        <v>5240.0879999999997</v>
      </c>
      <c r="BR111" s="274">
        <v>5307.1880000000001</v>
      </c>
      <c r="BS111" s="274">
        <v>5373.5020000000004</v>
      </c>
    </row>
    <row r="112" spans="1:71" x14ac:dyDescent="0.4">
      <c r="A112" s="270">
        <v>93</v>
      </c>
      <c r="B112" s="271" t="s">
        <v>890</v>
      </c>
      <c r="C112" s="276" t="s">
        <v>849</v>
      </c>
      <c r="D112" s="273"/>
      <c r="E112" s="273">
        <v>860</v>
      </c>
      <c r="F112" s="274">
        <v>6945.3969999999999</v>
      </c>
      <c r="G112" s="274">
        <v>7104.0559999999996</v>
      </c>
      <c r="H112" s="274">
        <v>7265.1719999999996</v>
      </c>
      <c r="I112" s="274">
        <v>7428.9930000000004</v>
      </c>
      <c r="J112" s="274">
        <v>7596.3329999999996</v>
      </c>
      <c r="K112" s="274">
        <v>7768.5810000000001</v>
      </c>
      <c r="L112" s="274">
        <v>7947.7349999999997</v>
      </c>
      <c r="M112" s="274">
        <v>8136.3639999999996</v>
      </c>
      <c r="N112" s="274">
        <v>8337.4740000000002</v>
      </c>
      <c r="O112" s="274">
        <v>8554.2710000000006</v>
      </c>
      <c r="P112" s="274">
        <v>8789.4920000000002</v>
      </c>
      <c r="Q112" s="274">
        <v>9044.6710000000003</v>
      </c>
      <c r="R112" s="274">
        <v>9319.51</v>
      </c>
      <c r="S112" s="274">
        <v>9611.6010000000006</v>
      </c>
      <c r="T112" s="274">
        <v>9917.2019999999993</v>
      </c>
      <c r="U112" s="274">
        <v>10233.502</v>
      </c>
      <c r="V112" s="274">
        <v>10559.05</v>
      </c>
      <c r="W112" s="274">
        <v>10894.306</v>
      </c>
      <c r="X112" s="274">
        <v>11240.522999999999</v>
      </c>
      <c r="Y112" s="274">
        <v>11599.763000000001</v>
      </c>
      <c r="Z112" s="274">
        <v>11972.994000000001</v>
      </c>
      <c r="AA112" s="274">
        <v>12361.236999999999</v>
      </c>
      <c r="AB112" s="274">
        <v>12762.439</v>
      </c>
      <c r="AC112" s="274">
        <v>13170.848</v>
      </c>
      <c r="AD112" s="274">
        <v>13578.782999999999</v>
      </c>
      <c r="AE112" s="274">
        <v>13980.996999999999</v>
      </c>
      <c r="AF112" s="274">
        <v>14374.728999999999</v>
      </c>
      <c r="AG112" s="274">
        <v>14762.133</v>
      </c>
      <c r="AH112" s="274">
        <v>15148.932000000001</v>
      </c>
      <c r="AI112" s="274">
        <v>15543.52</v>
      </c>
      <c r="AJ112" s="274">
        <v>15951.898999999999</v>
      </c>
      <c r="AK112" s="274">
        <v>16375.135</v>
      </c>
      <c r="AL112" s="274">
        <v>16810.937000000002</v>
      </c>
      <c r="AM112" s="274">
        <v>17257.774000000001</v>
      </c>
      <c r="AN112" s="274">
        <v>17712.991999999998</v>
      </c>
      <c r="AO112" s="274">
        <v>18174.143</v>
      </c>
      <c r="AP112" s="274">
        <v>18640.558000000001</v>
      </c>
      <c r="AQ112" s="274">
        <v>19111.312000000002</v>
      </c>
      <c r="AR112" s="274">
        <v>19583.186000000002</v>
      </c>
      <c r="AS112" s="274">
        <v>20052.258999999998</v>
      </c>
      <c r="AT112" s="274">
        <v>20515.248</v>
      </c>
      <c r="AU112" s="274">
        <v>20970.307000000001</v>
      </c>
      <c r="AV112" s="274">
        <v>21416.399000000001</v>
      </c>
      <c r="AW112" s="274">
        <v>21852.080000000002</v>
      </c>
      <c r="AX112" s="274">
        <v>22276.14</v>
      </c>
      <c r="AY112" s="274">
        <v>22687.455999999998</v>
      </c>
      <c r="AZ112" s="274">
        <v>23087.173999999999</v>
      </c>
      <c r="BA112" s="274">
        <v>23474.76</v>
      </c>
      <c r="BB112" s="274">
        <v>23845.788</v>
      </c>
      <c r="BC112" s="274">
        <v>24194.543000000001</v>
      </c>
      <c r="BD112" s="274">
        <v>24518.222000000002</v>
      </c>
      <c r="BE112" s="274">
        <v>24814.629000000001</v>
      </c>
      <c r="BF112" s="274">
        <v>25088.682000000001</v>
      </c>
      <c r="BG112" s="274">
        <v>25353.546999999999</v>
      </c>
      <c r="BH112" s="274">
        <v>25627.007000000001</v>
      </c>
      <c r="BI112" s="274">
        <v>25922.239000000001</v>
      </c>
      <c r="BJ112" s="274">
        <v>26242.947</v>
      </c>
      <c r="BK112" s="274">
        <v>26586.701000000001</v>
      </c>
      <c r="BL112" s="274">
        <v>26952.719000000001</v>
      </c>
      <c r="BM112" s="274">
        <v>27338.109</v>
      </c>
      <c r="BN112" s="274">
        <v>27739.763999999999</v>
      </c>
      <c r="BO112" s="274">
        <v>28158.395</v>
      </c>
      <c r="BP112" s="274">
        <v>28592.451000000001</v>
      </c>
      <c r="BQ112" s="274">
        <v>29033.361000000001</v>
      </c>
      <c r="BR112" s="274">
        <v>29469.913</v>
      </c>
      <c r="BS112" s="274">
        <v>29893.488000000001</v>
      </c>
    </row>
    <row r="113" spans="1:71" x14ac:dyDescent="0.4">
      <c r="A113" s="270">
        <v>94</v>
      </c>
      <c r="B113" s="271" t="s">
        <v>890</v>
      </c>
      <c r="C113" s="277" t="s">
        <v>928</v>
      </c>
      <c r="D113" s="273"/>
      <c r="E113" s="273">
        <v>5501</v>
      </c>
      <c r="F113" s="274">
        <v>493443.28700000001</v>
      </c>
      <c r="G113" s="274">
        <v>501384.84299999999</v>
      </c>
      <c r="H113" s="274">
        <v>509785.73300000001</v>
      </c>
      <c r="I113" s="274">
        <v>518651.799</v>
      </c>
      <c r="J113" s="274">
        <v>527987.51899999997</v>
      </c>
      <c r="K113" s="274">
        <v>537795.96900000004</v>
      </c>
      <c r="L113" s="274">
        <v>548078.79500000004</v>
      </c>
      <c r="M113" s="274">
        <v>558836.25800000003</v>
      </c>
      <c r="N113" s="274">
        <v>570067.40300000005</v>
      </c>
      <c r="O113" s="274">
        <v>581770.35600000003</v>
      </c>
      <c r="P113" s="274">
        <v>593943.18400000001</v>
      </c>
      <c r="Q113" s="274">
        <v>606584.79</v>
      </c>
      <c r="R113" s="274">
        <v>619695.74100000004</v>
      </c>
      <c r="S113" s="274">
        <v>633278.60699999996</v>
      </c>
      <c r="T113" s="274">
        <v>647336.97</v>
      </c>
      <c r="U113" s="274">
        <v>661872.58200000005</v>
      </c>
      <c r="V113" s="274">
        <v>676897.58700000006</v>
      </c>
      <c r="W113" s="274">
        <v>692411.10400000005</v>
      </c>
      <c r="X113" s="274">
        <v>708387.41500000004</v>
      </c>
      <c r="Y113" s="274">
        <v>724791.054</v>
      </c>
      <c r="Z113" s="274">
        <v>741602.90099999995</v>
      </c>
      <c r="AA113" s="274">
        <v>758809.90099999995</v>
      </c>
      <c r="AB113" s="274">
        <v>776438.37699999998</v>
      </c>
      <c r="AC113" s="274">
        <v>794556.91700000002</v>
      </c>
      <c r="AD113" s="274">
        <v>813258.55</v>
      </c>
      <c r="AE113" s="274">
        <v>832610.85600000003</v>
      </c>
      <c r="AF113" s="274">
        <v>852626.80299999996</v>
      </c>
      <c r="AG113" s="274">
        <v>873287.77599999995</v>
      </c>
      <c r="AH113" s="274">
        <v>894588.59199999995</v>
      </c>
      <c r="AI113" s="274">
        <v>916513.85</v>
      </c>
      <c r="AJ113" s="274">
        <v>939043.02399999998</v>
      </c>
      <c r="AK113" s="274">
        <v>962157.84900000005</v>
      </c>
      <c r="AL113" s="274">
        <v>985832.16299999994</v>
      </c>
      <c r="AM113" s="274">
        <v>1010022.752</v>
      </c>
      <c r="AN113" s="274">
        <v>1034676.972</v>
      </c>
      <c r="AO113" s="274">
        <v>1059740.3370000001</v>
      </c>
      <c r="AP113" s="274">
        <v>1085195.814</v>
      </c>
      <c r="AQ113" s="274">
        <v>1110998.345</v>
      </c>
      <c r="AR113" s="274">
        <v>1137031.834</v>
      </c>
      <c r="AS113" s="274">
        <v>1163154.0660000001</v>
      </c>
      <c r="AT113" s="274">
        <v>1189260.5060000001</v>
      </c>
      <c r="AU113" s="274">
        <v>1215277.808</v>
      </c>
      <c r="AV113" s="274">
        <v>1241212.2120000001</v>
      </c>
      <c r="AW113" s="274">
        <v>1267137.379</v>
      </c>
      <c r="AX113" s="274">
        <v>1293172.7620000001</v>
      </c>
      <c r="AY113" s="274">
        <v>1319395.96</v>
      </c>
      <c r="AZ113" s="274">
        <v>1345811.7479999999</v>
      </c>
      <c r="BA113" s="274">
        <v>1372356.52</v>
      </c>
      <c r="BB113" s="274">
        <v>1398956.3559999999</v>
      </c>
      <c r="BC113" s="274">
        <v>1425509.4809999999</v>
      </c>
      <c r="BD113" s="274">
        <v>1451932.7609999999</v>
      </c>
      <c r="BE113" s="274">
        <v>1478212.1159999999</v>
      </c>
      <c r="BF113" s="274">
        <v>1504339.7590000001</v>
      </c>
      <c r="BG113" s="274">
        <v>1530248.125</v>
      </c>
      <c r="BH113" s="274">
        <v>1555859.4620000001</v>
      </c>
      <c r="BI113" s="274">
        <v>1581124.102</v>
      </c>
      <c r="BJ113" s="274">
        <v>1606002.361</v>
      </c>
      <c r="BK113" s="274">
        <v>1630518.814</v>
      </c>
      <c r="BL113" s="274">
        <v>1654769.753</v>
      </c>
      <c r="BM113" s="274">
        <v>1678893.3559999999</v>
      </c>
      <c r="BN113" s="274">
        <v>1702990.8219999999</v>
      </c>
      <c r="BO113" s="274">
        <v>1727080.534</v>
      </c>
      <c r="BP113" s="274">
        <v>1751133.9609999999</v>
      </c>
      <c r="BQ113" s="274">
        <v>1775146.547</v>
      </c>
      <c r="BR113" s="274">
        <v>1799100.63</v>
      </c>
      <c r="BS113" s="274">
        <v>1822974.074</v>
      </c>
    </row>
    <row r="114" spans="1:71" x14ac:dyDescent="0.4">
      <c r="A114" s="270">
        <v>95</v>
      </c>
      <c r="B114" s="271" t="s">
        <v>890</v>
      </c>
      <c r="C114" s="276" t="s">
        <v>183</v>
      </c>
      <c r="D114" s="273"/>
      <c r="E114" s="273">
        <v>4</v>
      </c>
      <c r="F114" s="274">
        <v>7752.1180000000004</v>
      </c>
      <c r="G114" s="274">
        <v>7839.4260000000004</v>
      </c>
      <c r="H114" s="274">
        <v>7934.7979999999998</v>
      </c>
      <c r="I114" s="274">
        <v>8038.3119999999999</v>
      </c>
      <c r="J114" s="274">
        <v>8150.0370000000003</v>
      </c>
      <c r="K114" s="274">
        <v>8270.0239999999994</v>
      </c>
      <c r="L114" s="274">
        <v>8398.3089999999993</v>
      </c>
      <c r="M114" s="274">
        <v>8534.9130000000005</v>
      </c>
      <c r="N114" s="274">
        <v>8679.848</v>
      </c>
      <c r="O114" s="274">
        <v>8833.1270000000004</v>
      </c>
      <c r="P114" s="274">
        <v>8994.7929999999997</v>
      </c>
      <c r="Q114" s="274">
        <v>9164.9449999999997</v>
      </c>
      <c r="R114" s="274">
        <v>9343.7720000000008</v>
      </c>
      <c r="S114" s="274">
        <v>9531.5550000000003</v>
      </c>
      <c r="T114" s="274">
        <v>9728.6450000000004</v>
      </c>
      <c r="U114" s="274">
        <v>9935.3580000000002</v>
      </c>
      <c r="V114" s="274">
        <v>10148.841</v>
      </c>
      <c r="W114" s="274">
        <v>10368.6</v>
      </c>
      <c r="X114" s="274">
        <v>10599.79</v>
      </c>
      <c r="Y114" s="274">
        <v>10849.51</v>
      </c>
      <c r="Z114" s="274">
        <v>11121.097</v>
      </c>
      <c r="AA114" s="274">
        <v>11412.821</v>
      </c>
      <c r="AB114" s="274">
        <v>11716.896000000001</v>
      </c>
      <c r="AC114" s="274">
        <v>12022.513999999999</v>
      </c>
      <c r="AD114" s="274">
        <v>12315.553</v>
      </c>
      <c r="AE114" s="274">
        <v>12582.954</v>
      </c>
      <c r="AF114" s="274">
        <v>12831.361000000001</v>
      </c>
      <c r="AG114" s="274">
        <v>13056.499</v>
      </c>
      <c r="AH114" s="274">
        <v>13222.547</v>
      </c>
      <c r="AI114" s="274">
        <v>13283.279</v>
      </c>
      <c r="AJ114" s="274">
        <v>13211.412</v>
      </c>
      <c r="AK114" s="274">
        <v>12996.923000000001</v>
      </c>
      <c r="AL114" s="274">
        <v>12667.001</v>
      </c>
      <c r="AM114" s="274">
        <v>12279.094999999999</v>
      </c>
      <c r="AN114" s="274">
        <v>11912.51</v>
      </c>
      <c r="AO114" s="274">
        <v>11630.498</v>
      </c>
      <c r="AP114" s="274">
        <v>11438.949000000001</v>
      </c>
      <c r="AQ114" s="274">
        <v>11337.932000000001</v>
      </c>
      <c r="AR114" s="274">
        <v>11375.768</v>
      </c>
      <c r="AS114" s="274">
        <v>11608.351000000001</v>
      </c>
      <c r="AT114" s="274">
        <v>12067.57</v>
      </c>
      <c r="AU114" s="274">
        <v>12789.374</v>
      </c>
      <c r="AV114" s="274">
        <v>13745.63</v>
      </c>
      <c r="AW114" s="274">
        <v>14824.370999999999</v>
      </c>
      <c r="AX114" s="274">
        <v>15869.967000000001</v>
      </c>
      <c r="AY114" s="274">
        <v>16772.522000000001</v>
      </c>
      <c r="AZ114" s="274">
        <v>17481.8</v>
      </c>
      <c r="BA114" s="274">
        <v>18034.13</v>
      </c>
      <c r="BB114" s="274">
        <v>18511.48</v>
      </c>
      <c r="BC114" s="274">
        <v>19038.419999999998</v>
      </c>
      <c r="BD114" s="274">
        <v>19701.939999999999</v>
      </c>
      <c r="BE114" s="274">
        <v>20531.16</v>
      </c>
      <c r="BF114" s="274">
        <v>21487.079000000002</v>
      </c>
      <c r="BG114" s="274">
        <v>22507.367999999999</v>
      </c>
      <c r="BH114" s="274">
        <v>23499.85</v>
      </c>
      <c r="BI114" s="274">
        <v>24399.948</v>
      </c>
      <c r="BJ114" s="274">
        <v>25183.615000000002</v>
      </c>
      <c r="BK114" s="274">
        <v>25877.544000000002</v>
      </c>
      <c r="BL114" s="274">
        <v>26528.741000000002</v>
      </c>
      <c r="BM114" s="274">
        <v>27207.291000000001</v>
      </c>
      <c r="BN114" s="274">
        <v>27962.206999999999</v>
      </c>
      <c r="BO114" s="274">
        <v>28809.167000000001</v>
      </c>
      <c r="BP114" s="274">
        <v>29726.803</v>
      </c>
      <c r="BQ114" s="274">
        <v>30682.5</v>
      </c>
      <c r="BR114" s="274">
        <v>31627.506000000001</v>
      </c>
      <c r="BS114" s="274">
        <v>32526.562000000002</v>
      </c>
    </row>
    <row r="115" spans="1:71" x14ac:dyDescent="0.4">
      <c r="A115" s="270">
        <v>96</v>
      </c>
      <c r="B115" s="271" t="s">
        <v>890</v>
      </c>
      <c r="C115" s="276" t="s">
        <v>233</v>
      </c>
      <c r="D115" s="273"/>
      <c r="E115" s="273">
        <v>50</v>
      </c>
      <c r="F115" s="274">
        <v>37894.68</v>
      </c>
      <c r="G115" s="274">
        <v>38706.927000000003</v>
      </c>
      <c r="H115" s="274">
        <v>39493.326000000001</v>
      </c>
      <c r="I115" s="274">
        <v>40302.266000000003</v>
      </c>
      <c r="J115" s="274">
        <v>41170.305999999997</v>
      </c>
      <c r="K115" s="274">
        <v>42122.171000000002</v>
      </c>
      <c r="L115" s="274">
        <v>43170.260999999999</v>
      </c>
      <c r="M115" s="274">
        <v>44315.144999999997</v>
      </c>
      <c r="N115" s="274">
        <v>45547.036999999997</v>
      </c>
      <c r="O115" s="274">
        <v>46848.27</v>
      </c>
      <c r="P115" s="274">
        <v>48200.701999999997</v>
      </c>
      <c r="Q115" s="274">
        <v>49593.61</v>
      </c>
      <c r="R115" s="274">
        <v>51030.603999999999</v>
      </c>
      <c r="S115" s="274">
        <v>52532.595000000001</v>
      </c>
      <c r="T115" s="274">
        <v>54129.39</v>
      </c>
      <c r="U115" s="274">
        <v>55835.02</v>
      </c>
      <c r="V115" s="274">
        <v>57675.529000000002</v>
      </c>
      <c r="W115" s="274">
        <v>59625.294000000002</v>
      </c>
      <c r="X115" s="274">
        <v>61585.52</v>
      </c>
      <c r="Y115" s="274">
        <v>63422.57</v>
      </c>
      <c r="Z115" s="274">
        <v>65048.701000000001</v>
      </c>
      <c r="AA115" s="274">
        <v>66417.45</v>
      </c>
      <c r="AB115" s="274">
        <v>67578.486000000004</v>
      </c>
      <c r="AC115" s="274">
        <v>68658.471999999994</v>
      </c>
      <c r="AD115" s="274">
        <v>69837.960000000006</v>
      </c>
      <c r="AE115" s="274">
        <v>71247.153000000006</v>
      </c>
      <c r="AF115" s="274">
        <v>72930.206000000006</v>
      </c>
      <c r="AG115" s="274">
        <v>74848.466</v>
      </c>
      <c r="AH115" s="274">
        <v>76948.377999999997</v>
      </c>
      <c r="AI115" s="274">
        <v>79141.947</v>
      </c>
      <c r="AJ115" s="274">
        <v>81364.176000000007</v>
      </c>
      <c r="AK115" s="274">
        <v>83599.581999999995</v>
      </c>
      <c r="AL115" s="274">
        <v>85868.228000000003</v>
      </c>
      <c r="AM115" s="274">
        <v>88181.210999999996</v>
      </c>
      <c r="AN115" s="274">
        <v>90559.54</v>
      </c>
      <c r="AO115" s="274">
        <v>93015.182000000001</v>
      </c>
      <c r="AP115" s="274">
        <v>95550.797999999995</v>
      </c>
      <c r="AQ115" s="274">
        <v>98149.262000000002</v>
      </c>
      <c r="AR115" s="274">
        <v>100779.55100000001</v>
      </c>
      <c r="AS115" s="274">
        <v>103400.571</v>
      </c>
      <c r="AT115" s="274">
        <v>105983.136</v>
      </c>
      <c r="AU115" s="274">
        <v>108509.679</v>
      </c>
      <c r="AV115" s="274">
        <v>110987.459</v>
      </c>
      <c r="AW115" s="274">
        <v>113442.35400000001</v>
      </c>
      <c r="AX115" s="274">
        <v>115913.71</v>
      </c>
      <c r="AY115" s="274">
        <v>118427.768</v>
      </c>
      <c r="AZ115" s="274">
        <v>120987.124</v>
      </c>
      <c r="BA115" s="274">
        <v>123574.107</v>
      </c>
      <c r="BB115" s="274">
        <v>126169.583</v>
      </c>
      <c r="BC115" s="274">
        <v>128746.273</v>
      </c>
      <c r="BD115" s="274">
        <v>131280.739</v>
      </c>
      <c r="BE115" s="274">
        <v>133776.06400000001</v>
      </c>
      <c r="BF115" s="274">
        <v>136228.45600000001</v>
      </c>
      <c r="BG115" s="274">
        <v>138600.174</v>
      </c>
      <c r="BH115" s="274">
        <v>140843.78599999999</v>
      </c>
      <c r="BI115" s="274">
        <v>142929.97899999999</v>
      </c>
      <c r="BJ115" s="274">
        <v>144839.23800000001</v>
      </c>
      <c r="BK115" s="274">
        <v>146592.68700000001</v>
      </c>
      <c r="BL115" s="274">
        <v>148252.473</v>
      </c>
      <c r="BM115" s="274">
        <v>149905.83600000001</v>
      </c>
      <c r="BN115" s="274">
        <v>151616.777</v>
      </c>
      <c r="BO115" s="274">
        <v>153405.61199999999</v>
      </c>
      <c r="BP115" s="274">
        <v>155257.38699999999</v>
      </c>
      <c r="BQ115" s="274">
        <v>157157.394</v>
      </c>
      <c r="BR115" s="274">
        <v>159077.51300000001</v>
      </c>
      <c r="BS115" s="274">
        <v>160995.64199999999</v>
      </c>
    </row>
    <row r="116" spans="1:71" x14ac:dyDescent="0.4">
      <c r="A116" s="270">
        <v>97</v>
      </c>
      <c r="B116" s="271" t="s">
        <v>890</v>
      </c>
      <c r="C116" s="276" t="s">
        <v>255</v>
      </c>
      <c r="D116" s="273"/>
      <c r="E116" s="273">
        <v>64</v>
      </c>
      <c r="F116" s="274">
        <v>176.79499999999999</v>
      </c>
      <c r="G116" s="274">
        <v>181.489</v>
      </c>
      <c r="H116" s="274">
        <v>186.16</v>
      </c>
      <c r="I116" s="274">
        <v>190.81</v>
      </c>
      <c r="J116" s="274">
        <v>195.44900000000001</v>
      </c>
      <c r="K116" s="274">
        <v>200.089</v>
      </c>
      <c r="L116" s="274">
        <v>204.74799999999999</v>
      </c>
      <c r="M116" s="274">
        <v>209.44900000000001</v>
      </c>
      <c r="N116" s="274">
        <v>214.221</v>
      </c>
      <c r="O116" s="274">
        <v>219.095</v>
      </c>
      <c r="P116" s="274">
        <v>224.108</v>
      </c>
      <c r="Q116" s="274">
        <v>229.297</v>
      </c>
      <c r="R116" s="274">
        <v>234.703</v>
      </c>
      <c r="S116" s="274">
        <v>240.364</v>
      </c>
      <c r="T116" s="274">
        <v>246.32400000000001</v>
      </c>
      <c r="U116" s="274">
        <v>252.62899999999999</v>
      </c>
      <c r="V116" s="274">
        <v>259.27</v>
      </c>
      <c r="W116" s="274">
        <v>266.29300000000001</v>
      </c>
      <c r="X116" s="274">
        <v>273.86799999999999</v>
      </c>
      <c r="Y116" s="274">
        <v>282.20999999999998</v>
      </c>
      <c r="Z116" s="274">
        <v>291.45699999999999</v>
      </c>
      <c r="AA116" s="274">
        <v>301.65300000000002</v>
      </c>
      <c r="AB116" s="274">
        <v>312.71199999999999</v>
      </c>
      <c r="AC116" s="274">
        <v>324.46499999999997</v>
      </c>
      <c r="AD116" s="274">
        <v>336.67700000000002</v>
      </c>
      <c r="AE116" s="274">
        <v>349.14600000000002</v>
      </c>
      <c r="AF116" s="274">
        <v>361.86200000000002</v>
      </c>
      <c r="AG116" s="274">
        <v>374.80099999999999</v>
      </c>
      <c r="AH116" s="274">
        <v>387.73099999999999</v>
      </c>
      <c r="AI116" s="274">
        <v>400.37799999999999</v>
      </c>
      <c r="AJ116" s="274">
        <v>412.56099999999998</v>
      </c>
      <c r="AK116" s="274">
        <v>423.887</v>
      </c>
      <c r="AL116" s="274">
        <v>434.38499999999999</v>
      </c>
      <c r="AM116" s="274">
        <v>444.78899999999999</v>
      </c>
      <c r="AN116" s="274">
        <v>456.13499999999999</v>
      </c>
      <c r="AO116" s="274">
        <v>469.01</v>
      </c>
      <c r="AP116" s="274">
        <v>484.15100000000001</v>
      </c>
      <c r="AQ116" s="274">
        <v>500.952</v>
      </c>
      <c r="AR116" s="274">
        <v>517.06799999999998</v>
      </c>
      <c r="AS116" s="274">
        <v>529.28399999999999</v>
      </c>
      <c r="AT116" s="274">
        <v>535.505</v>
      </c>
      <c r="AU116" s="274">
        <v>534.678</v>
      </c>
      <c r="AV116" s="274">
        <v>528.08500000000004</v>
      </c>
      <c r="AW116" s="274">
        <v>518.84699999999998</v>
      </c>
      <c r="AX116" s="274">
        <v>511.38200000000001</v>
      </c>
      <c r="AY116" s="274">
        <v>508.89699999999999</v>
      </c>
      <c r="AZ116" s="274">
        <v>512.37699999999995</v>
      </c>
      <c r="BA116" s="274">
        <v>520.91700000000003</v>
      </c>
      <c r="BB116" s="274">
        <v>533.50599999999997</v>
      </c>
      <c r="BC116" s="274">
        <v>548.38699999999994</v>
      </c>
      <c r="BD116" s="274">
        <v>564.18700000000001</v>
      </c>
      <c r="BE116" s="274">
        <v>580.78399999999999</v>
      </c>
      <c r="BF116" s="274">
        <v>598.42100000000005</v>
      </c>
      <c r="BG116" s="274">
        <v>616.47400000000005</v>
      </c>
      <c r="BH116" s="274">
        <v>634.23500000000001</v>
      </c>
      <c r="BI116" s="274">
        <v>651.16300000000001</v>
      </c>
      <c r="BJ116" s="274">
        <v>666.92</v>
      </c>
      <c r="BK116" s="274">
        <v>681.471</v>
      </c>
      <c r="BL116" s="274">
        <v>694.99</v>
      </c>
      <c r="BM116" s="274">
        <v>707.83</v>
      </c>
      <c r="BN116" s="274">
        <v>720.24599999999998</v>
      </c>
      <c r="BO116" s="274">
        <v>732.24599999999998</v>
      </c>
      <c r="BP116" s="274">
        <v>743.71100000000001</v>
      </c>
      <c r="BQ116" s="274">
        <v>754.63699999999994</v>
      </c>
      <c r="BR116" s="274">
        <v>765.00800000000004</v>
      </c>
      <c r="BS116" s="274">
        <v>774.83</v>
      </c>
    </row>
    <row r="117" spans="1:71" x14ac:dyDescent="0.4">
      <c r="A117" s="270">
        <v>98</v>
      </c>
      <c r="B117" s="271" t="s">
        <v>890</v>
      </c>
      <c r="C117" s="276" t="s">
        <v>458</v>
      </c>
      <c r="D117" s="273"/>
      <c r="E117" s="273">
        <v>356</v>
      </c>
      <c r="F117" s="274">
        <v>376325.20500000002</v>
      </c>
      <c r="G117" s="274">
        <v>382231.04200000002</v>
      </c>
      <c r="H117" s="274">
        <v>388515.75799999997</v>
      </c>
      <c r="I117" s="274">
        <v>395137.696</v>
      </c>
      <c r="J117" s="274">
        <v>402065.91499999998</v>
      </c>
      <c r="K117" s="274">
        <v>409280.196</v>
      </c>
      <c r="L117" s="274">
        <v>416771.50199999998</v>
      </c>
      <c r="M117" s="274">
        <v>424541.51299999998</v>
      </c>
      <c r="N117" s="274">
        <v>432601.23599999998</v>
      </c>
      <c r="O117" s="274">
        <v>440968.67700000003</v>
      </c>
      <c r="P117" s="274">
        <v>449661.87400000001</v>
      </c>
      <c r="Q117" s="274">
        <v>458691.45699999999</v>
      </c>
      <c r="R117" s="274">
        <v>468054.14500000002</v>
      </c>
      <c r="S117" s="274">
        <v>477729.95799999998</v>
      </c>
      <c r="T117" s="274">
        <v>487690.114</v>
      </c>
      <c r="U117" s="274">
        <v>497920.27</v>
      </c>
      <c r="V117" s="274">
        <v>508402.908</v>
      </c>
      <c r="W117" s="274">
        <v>519162.06900000002</v>
      </c>
      <c r="X117" s="274">
        <v>530274.72900000005</v>
      </c>
      <c r="Y117" s="274">
        <v>541844.848</v>
      </c>
      <c r="Z117" s="274">
        <v>553943.22600000002</v>
      </c>
      <c r="AA117" s="274">
        <v>566605.402</v>
      </c>
      <c r="AB117" s="274">
        <v>579800.63199999998</v>
      </c>
      <c r="AC117" s="274">
        <v>593451.88899999997</v>
      </c>
      <c r="AD117" s="274">
        <v>607446.51899999997</v>
      </c>
      <c r="AE117" s="274">
        <v>621703.64099999995</v>
      </c>
      <c r="AF117" s="274">
        <v>636182.81000000006</v>
      </c>
      <c r="AG117" s="274">
        <v>650907.55900000001</v>
      </c>
      <c r="AH117" s="274">
        <v>665936.43500000006</v>
      </c>
      <c r="AI117" s="274">
        <v>681358.55299999996</v>
      </c>
      <c r="AJ117" s="274">
        <v>697229.745</v>
      </c>
      <c r="AK117" s="274">
        <v>713561.40599999996</v>
      </c>
      <c r="AL117" s="274">
        <v>730303.46100000001</v>
      </c>
      <c r="AM117" s="274">
        <v>747374.85600000003</v>
      </c>
      <c r="AN117" s="274">
        <v>764664.27800000005</v>
      </c>
      <c r="AO117" s="274">
        <v>782085.12699999998</v>
      </c>
      <c r="AP117" s="274">
        <v>799607.23499999999</v>
      </c>
      <c r="AQ117" s="274">
        <v>817232.24100000004</v>
      </c>
      <c r="AR117" s="274">
        <v>834944.397</v>
      </c>
      <c r="AS117" s="274">
        <v>852736.16</v>
      </c>
      <c r="AT117" s="274">
        <v>870601.77599999995</v>
      </c>
      <c r="AU117" s="274">
        <v>888513.86899999995</v>
      </c>
      <c r="AV117" s="274">
        <v>906461.35800000001</v>
      </c>
      <c r="AW117" s="274">
        <v>924475.63300000003</v>
      </c>
      <c r="AX117" s="274">
        <v>942604.21100000001</v>
      </c>
      <c r="AY117" s="274">
        <v>960874.98199999996</v>
      </c>
      <c r="AZ117" s="274">
        <v>979290.43200000003</v>
      </c>
      <c r="BA117" s="274">
        <v>997817.25</v>
      </c>
      <c r="BB117" s="274">
        <v>1016402.907</v>
      </c>
      <c r="BC117" s="274">
        <v>1034976.626</v>
      </c>
      <c r="BD117" s="274">
        <v>1053481.0719999999</v>
      </c>
      <c r="BE117" s="274">
        <v>1071888.19</v>
      </c>
      <c r="BF117" s="274">
        <v>1090189.358</v>
      </c>
      <c r="BG117" s="274">
        <v>1108369.577</v>
      </c>
      <c r="BH117" s="274">
        <v>1126419.321</v>
      </c>
      <c r="BI117" s="274">
        <v>1144326.2930000001</v>
      </c>
      <c r="BJ117" s="274">
        <v>1162088.3049999999</v>
      </c>
      <c r="BK117" s="274">
        <v>1179685.6310000001</v>
      </c>
      <c r="BL117" s="274">
        <v>1197070.1089999999</v>
      </c>
      <c r="BM117" s="274">
        <v>1214182.182</v>
      </c>
      <c r="BN117" s="274">
        <v>1230984.504</v>
      </c>
      <c r="BO117" s="274">
        <v>1247446.0109999999</v>
      </c>
      <c r="BP117" s="274">
        <v>1263589.639</v>
      </c>
      <c r="BQ117" s="274">
        <v>1279498.8740000001</v>
      </c>
      <c r="BR117" s="274">
        <v>1295291.5430000001</v>
      </c>
      <c r="BS117" s="274">
        <v>1311050.527</v>
      </c>
    </row>
    <row r="118" spans="1:71" x14ac:dyDescent="0.4">
      <c r="A118" s="270">
        <v>99</v>
      </c>
      <c r="B118" s="271" t="s">
        <v>890</v>
      </c>
      <c r="C118" s="276" t="s">
        <v>466</v>
      </c>
      <c r="D118" s="273"/>
      <c r="E118" s="273">
        <v>364</v>
      </c>
      <c r="F118" s="274">
        <v>17119.262999999999</v>
      </c>
      <c r="G118" s="274">
        <v>17516.578000000001</v>
      </c>
      <c r="H118" s="274">
        <v>17933.356</v>
      </c>
      <c r="I118" s="274">
        <v>18368.896000000001</v>
      </c>
      <c r="J118" s="274">
        <v>18822.605</v>
      </c>
      <c r="K118" s="274">
        <v>19293.998</v>
      </c>
      <c r="L118" s="274">
        <v>19782.699000000001</v>
      </c>
      <c r="M118" s="274">
        <v>20288.439999999999</v>
      </c>
      <c r="N118" s="274">
        <v>20811.062000000002</v>
      </c>
      <c r="O118" s="274">
        <v>21350.524000000001</v>
      </c>
      <c r="P118" s="274">
        <v>21906.904999999999</v>
      </c>
      <c r="Q118" s="274">
        <v>22480.42</v>
      </c>
      <c r="R118" s="274">
        <v>23071.425999999999</v>
      </c>
      <c r="S118" s="274">
        <v>23680.433000000001</v>
      </c>
      <c r="T118" s="274">
        <v>24308.080000000002</v>
      </c>
      <c r="U118" s="274">
        <v>24955.116000000002</v>
      </c>
      <c r="V118" s="274">
        <v>25624.65</v>
      </c>
      <c r="W118" s="274">
        <v>26318.116000000002</v>
      </c>
      <c r="X118" s="274">
        <v>27032.944</v>
      </c>
      <c r="Y118" s="274">
        <v>27765.239000000001</v>
      </c>
      <c r="Z118" s="274">
        <v>28514.010999999999</v>
      </c>
      <c r="AA118" s="274">
        <v>29281.13</v>
      </c>
      <c r="AB118" s="274">
        <v>30073.845000000001</v>
      </c>
      <c r="AC118" s="274">
        <v>30903.564999999999</v>
      </c>
      <c r="AD118" s="274">
        <v>31784.896000000001</v>
      </c>
      <c r="AE118" s="274">
        <v>32730.555</v>
      </c>
      <c r="AF118" s="274">
        <v>33739.231</v>
      </c>
      <c r="AG118" s="274">
        <v>34814.231</v>
      </c>
      <c r="AH118" s="274">
        <v>35977.589</v>
      </c>
      <c r="AI118" s="274">
        <v>37256.771000000001</v>
      </c>
      <c r="AJ118" s="274">
        <v>38668.222000000002</v>
      </c>
      <c r="AK118" s="274">
        <v>40209.076999999997</v>
      </c>
      <c r="AL118" s="274">
        <v>41862.373</v>
      </c>
      <c r="AM118" s="274">
        <v>43610.506000000001</v>
      </c>
      <c r="AN118" s="274">
        <v>45429.019</v>
      </c>
      <c r="AO118" s="274">
        <v>47290.792999999998</v>
      </c>
      <c r="AP118" s="274">
        <v>49205.576999999997</v>
      </c>
      <c r="AQ118" s="274">
        <v>51152.122000000003</v>
      </c>
      <c r="AR118" s="274">
        <v>53035.938999999998</v>
      </c>
      <c r="AS118" s="274">
        <v>54735.239000000001</v>
      </c>
      <c r="AT118" s="274">
        <v>56169.196000000004</v>
      </c>
      <c r="AU118" s="274">
        <v>57288.038999999997</v>
      </c>
      <c r="AV118" s="274">
        <v>58130.099000000002</v>
      </c>
      <c r="AW118" s="274">
        <v>58811.858</v>
      </c>
      <c r="AX118" s="274">
        <v>59501.292000000001</v>
      </c>
      <c r="AY118" s="274">
        <v>60318.631999999998</v>
      </c>
      <c r="AZ118" s="274">
        <v>61306.631999999998</v>
      </c>
      <c r="BA118" s="274">
        <v>62426.086000000003</v>
      </c>
      <c r="BB118" s="274">
        <v>63616.065000000002</v>
      </c>
      <c r="BC118" s="274">
        <v>64780.362000000001</v>
      </c>
      <c r="BD118" s="274">
        <v>65850.062000000005</v>
      </c>
      <c r="BE118" s="274">
        <v>66812.736000000004</v>
      </c>
      <c r="BF118" s="274">
        <v>67696.676999999996</v>
      </c>
      <c r="BG118" s="274">
        <v>68522.073999999993</v>
      </c>
      <c r="BH118" s="274">
        <v>69321.952999999994</v>
      </c>
      <c r="BI118" s="274">
        <v>70122.115000000005</v>
      </c>
      <c r="BJ118" s="274">
        <v>70923.164000000004</v>
      </c>
      <c r="BK118" s="274">
        <v>71720.858999999997</v>
      </c>
      <c r="BL118" s="274">
        <v>72530.692999999999</v>
      </c>
      <c r="BM118" s="274">
        <v>73370.982000000004</v>
      </c>
      <c r="BN118" s="274">
        <v>74253.373000000007</v>
      </c>
      <c r="BO118" s="274">
        <v>75184.322</v>
      </c>
      <c r="BP118" s="274">
        <v>76156.975000000006</v>
      </c>
      <c r="BQ118" s="274">
        <v>77152.445000000007</v>
      </c>
      <c r="BR118" s="274">
        <v>78143.644</v>
      </c>
      <c r="BS118" s="274">
        <v>79109.271999999997</v>
      </c>
    </row>
    <row r="119" spans="1:71" x14ac:dyDescent="0.4">
      <c r="A119" s="270">
        <v>100</v>
      </c>
      <c r="B119" s="271" t="s">
        <v>890</v>
      </c>
      <c r="C119" s="276" t="s">
        <v>558</v>
      </c>
      <c r="D119" s="273"/>
      <c r="E119" s="273">
        <v>462</v>
      </c>
      <c r="F119" s="274">
        <v>73.715000000000003</v>
      </c>
      <c r="G119" s="274">
        <v>74.224000000000004</v>
      </c>
      <c r="H119" s="274">
        <v>75.188999999999993</v>
      </c>
      <c r="I119" s="274">
        <v>76.483000000000004</v>
      </c>
      <c r="J119" s="274">
        <v>78.013000000000005</v>
      </c>
      <c r="K119" s="274">
        <v>79.703999999999994</v>
      </c>
      <c r="L119" s="274">
        <v>81.513000000000005</v>
      </c>
      <c r="M119" s="274">
        <v>83.423000000000002</v>
      </c>
      <c r="N119" s="274">
        <v>85.436999999999998</v>
      </c>
      <c r="O119" s="274">
        <v>87.58</v>
      </c>
      <c r="P119" s="274">
        <v>89.875</v>
      </c>
      <c r="Q119" s="274">
        <v>92.326999999999998</v>
      </c>
      <c r="R119" s="274">
        <v>94.909000000000006</v>
      </c>
      <c r="S119" s="274">
        <v>97.555999999999997</v>
      </c>
      <c r="T119" s="274">
        <v>100.17700000000001</v>
      </c>
      <c r="U119" s="274">
        <v>102.723</v>
      </c>
      <c r="V119" s="274">
        <v>105.145</v>
      </c>
      <c r="W119" s="274">
        <v>107.488</v>
      </c>
      <c r="X119" s="274">
        <v>109.901</v>
      </c>
      <c r="Y119" s="274">
        <v>112.59099999999999</v>
      </c>
      <c r="Z119" s="274">
        <v>115.703</v>
      </c>
      <c r="AA119" s="274">
        <v>119.315</v>
      </c>
      <c r="AB119" s="274">
        <v>123.372</v>
      </c>
      <c r="AC119" s="274">
        <v>127.717</v>
      </c>
      <c r="AD119" s="274">
        <v>132.12200000000001</v>
      </c>
      <c r="AE119" s="274">
        <v>136.434</v>
      </c>
      <c r="AF119" s="274">
        <v>140.58199999999999</v>
      </c>
      <c r="AG119" s="274">
        <v>144.64500000000001</v>
      </c>
      <c r="AH119" s="274">
        <v>148.797</v>
      </c>
      <c r="AI119" s="274">
        <v>153.285</v>
      </c>
      <c r="AJ119" s="274">
        <v>158.28200000000001</v>
      </c>
      <c r="AK119" s="274">
        <v>163.834</v>
      </c>
      <c r="AL119" s="274">
        <v>169.86099999999999</v>
      </c>
      <c r="AM119" s="274">
        <v>176.25800000000001</v>
      </c>
      <c r="AN119" s="274">
        <v>182.864</v>
      </c>
      <c r="AO119" s="274">
        <v>189.55099999999999</v>
      </c>
      <c r="AP119" s="274">
        <v>196.28299999999999</v>
      </c>
      <c r="AQ119" s="274">
        <v>203.059</v>
      </c>
      <c r="AR119" s="274">
        <v>209.83199999999999</v>
      </c>
      <c r="AS119" s="274">
        <v>216.553</v>
      </c>
      <c r="AT119" s="274">
        <v>223.179</v>
      </c>
      <c r="AU119" s="274">
        <v>229.68600000000001</v>
      </c>
      <c r="AV119" s="274">
        <v>236.053</v>
      </c>
      <c r="AW119" s="274">
        <v>242.25200000000001</v>
      </c>
      <c r="AX119" s="274">
        <v>248.26300000000001</v>
      </c>
      <c r="AY119" s="274">
        <v>254.07</v>
      </c>
      <c r="AZ119" s="274">
        <v>259.66800000000001</v>
      </c>
      <c r="BA119" s="274">
        <v>265.06700000000001</v>
      </c>
      <c r="BB119" s="274">
        <v>270.29199999999997</v>
      </c>
      <c r="BC119" s="274">
        <v>275.38499999999999</v>
      </c>
      <c r="BD119" s="274">
        <v>280.38400000000001</v>
      </c>
      <c r="BE119" s="274">
        <v>285.298</v>
      </c>
      <c r="BF119" s="274">
        <v>290.14699999999999</v>
      </c>
      <c r="BG119" s="274">
        <v>294.99599999999998</v>
      </c>
      <c r="BH119" s="274">
        <v>299.91699999999997</v>
      </c>
      <c r="BI119" s="274">
        <v>304.96800000000002</v>
      </c>
      <c r="BJ119" s="274">
        <v>310.16800000000001</v>
      </c>
      <c r="BK119" s="274">
        <v>315.51499999999999</v>
      </c>
      <c r="BL119" s="274">
        <v>321.02600000000001</v>
      </c>
      <c r="BM119" s="274">
        <v>326.71300000000002</v>
      </c>
      <c r="BN119" s="274">
        <v>332.57499999999999</v>
      </c>
      <c r="BO119" s="274">
        <v>338.61799999999999</v>
      </c>
      <c r="BP119" s="274">
        <v>344.81700000000001</v>
      </c>
      <c r="BQ119" s="274">
        <v>351.11099999999999</v>
      </c>
      <c r="BR119" s="274">
        <v>357.41500000000002</v>
      </c>
      <c r="BS119" s="274">
        <v>363.65699999999998</v>
      </c>
    </row>
    <row r="120" spans="1:71" x14ac:dyDescent="0.4">
      <c r="A120" s="270">
        <v>101</v>
      </c>
      <c r="B120" s="271" t="s">
        <v>890</v>
      </c>
      <c r="C120" s="276" t="s">
        <v>610</v>
      </c>
      <c r="D120" s="273"/>
      <c r="E120" s="273">
        <v>524</v>
      </c>
      <c r="F120" s="274">
        <v>8483.3209999999999</v>
      </c>
      <c r="G120" s="274">
        <v>8657.5769999999993</v>
      </c>
      <c r="H120" s="274">
        <v>8823.0220000000008</v>
      </c>
      <c r="I120" s="274">
        <v>8982.2160000000003</v>
      </c>
      <c r="J120" s="274">
        <v>9137.3359999999993</v>
      </c>
      <c r="K120" s="274">
        <v>9290.1740000000009</v>
      </c>
      <c r="L120" s="274">
        <v>9442.1229999999996</v>
      </c>
      <c r="M120" s="274">
        <v>9594.1919999999991</v>
      </c>
      <c r="N120" s="274">
        <v>9747.06</v>
      </c>
      <c r="O120" s="274">
        <v>9901.1610000000001</v>
      </c>
      <c r="P120" s="274">
        <v>10056.945</v>
      </c>
      <c r="Q120" s="274">
        <v>10215.153</v>
      </c>
      <c r="R120" s="274">
        <v>10377.061</v>
      </c>
      <c r="S120" s="274">
        <v>10544.585999999999</v>
      </c>
      <c r="T120" s="274">
        <v>10719.987999999999</v>
      </c>
      <c r="U120" s="274">
        <v>10905.005999999999</v>
      </c>
      <c r="V120" s="274">
        <v>11100.672</v>
      </c>
      <c r="W120" s="274">
        <v>11307.138999999999</v>
      </c>
      <c r="X120" s="274">
        <v>11524.132</v>
      </c>
      <c r="Y120" s="274">
        <v>11750.914000000001</v>
      </c>
      <c r="Z120" s="274">
        <v>11986.974</v>
      </c>
      <c r="AA120" s="274">
        <v>12232.454</v>
      </c>
      <c r="AB120" s="274">
        <v>12487.785</v>
      </c>
      <c r="AC120" s="274">
        <v>12753.028</v>
      </c>
      <c r="AD120" s="274">
        <v>13028.248</v>
      </c>
      <c r="AE120" s="274">
        <v>13313.486999999999</v>
      </c>
      <c r="AF120" s="274">
        <v>13608.67</v>
      </c>
      <c r="AG120" s="274">
        <v>13913.775</v>
      </c>
      <c r="AH120" s="274">
        <v>14228.941000000001</v>
      </c>
      <c r="AI120" s="274">
        <v>14554.356</v>
      </c>
      <c r="AJ120" s="274">
        <v>14890.08</v>
      </c>
      <c r="AK120" s="274">
        <v>15237.302</v>
      </c>
      <c r="AL120" s="274">
        <v>15596.012000000001</v>
      </c>
      <c r="AM120" s="274">
        <v>15963.745999999999</v>
      </c>
      <c r="AN120" s="274">
        <v>16337.117</v>
      </c>
      <c r="AO120" s="274">
        <v>16714.334999999999</v>
      </c>
      <c r="AP120" s="274">
        <v>17091.958999999999</v>
      </c>
      <c r="AQ120" s="274">
        <v>17472.137999999999</v>
      </c>
      <c r="AR120" s="274">
        <v>17865.238000000001</v>
      </c>
      <c r="AS120" s="274">
        <v>18285.434000000001</v>
      </c>
      <c r="AT120" s="274">
        <v>18741.687999999998</v>
      </c>
      <c r="AU120" s="274">
        <v>19237.322</v>
      </c>
      <c r="AV120" s="274">
        <v>19765.57</v>
      </c>
      <c r="AW120" s="274">
        <v>20312.687000000002</v>
      </c>
      <c r="AX120" s="274">
        <v>20859.420999999998</v>
      </c>
      <c r="AY120" s="274">
        <v>21390.904999999999</v>
      </c>
      <c r="AZ120" s="274">
        <v>21902.534</v>
      </c>
      <c r="BA120" s="274">
        <v>22395.246999999999</v>
      </c>
      <c r="BB120" s="274">
        <v>22866.495999999999</v>
      </c>
      <c r="BC120" s="274">
        <v>23315.053</v>
      </c>
      <c r="BD120" s="274">
        <v>23740.145</v>
      </c>
      <c r="BE120" s="274">
        <v>24140.940999999999</v>
      </c>
      <c r="BF120" s="274">
        <v>24516.969000000001</v>
      </c>
      <c r="BG120" s="274">
        <v>24868.9</v>
      </c>
      <c r="BH120" s="274">
        <v>25198.13</v>
      </c>
      <c r="BI120" s="274">
        <v>25506.847000000002</v>
      </c>
      <c r="BJ120" s="274">
        <v>25794.344000000001</v>
      </c>
      <c r="BK120" s="274">
        <v>26063.618999999999</v>
      </c>
      <c r="BL120" s="274">
        <v>26325.183000000001</v>
      </c>
      <c r="BM120" s="274">
        <v>26592.666000000001</v>
      </c>
      <c r="BN120" s="274">
        <v>26875.91</v>
      </c>
      <c r="BO120" s="274">
        <v>27179.237000000001</v>
      </c>
      <c r="BP120" s="274">
        <v>27500.514999999999</v>
      </c>
      <c r="BQ120" s="274">
        <v>27834.981</v>
      </c>
      <c r="BR120" s="274">
        <v>28174.723999999998</v>
      </c>
      <c r="BS120" s="274">
        <v>28513.7</v>
      </c>
    </row>
    <row r="121" spans="1:71" x14ac:dyDescent="0.4">
      <c r="A121" s="270">
        <v>102</v>
      </c>
      <c r="B121" s="271" t="s">
        <v>890</v>
      </c>
      <c r="C121" s="276" t="s">
        <v>638</v>
      </c>
      <c r="D121" s="273"/>
      <c r="E121" s="273">
        <v>586</v>
      </c>
      <c r="F121" s="274">
        <v>37542.379999999997</v>
      </c>
      <c r="G121" s="274">
        <v>37976.074999999997</v>
      </c>
      <c r="H121" s="274">
        <v>38485.341</v>
      </c>
      <c r="I121" s="274">
        <v>39065.870999999999</v>
      </c>
      <c r="J121" s="274">
        <v>39714.074000000001</v>
      </c>
      <c r="K121" s="274">
        <v>40427.072</v>
      </c>
      <c r="L121" s="274">
        <v>41202.728999999999</v>
      </c>
      <c r="M121" s="274">
        <v>42039.623</v>
      </c>
      <c r="N121" s="274">
        <v>42936.961000000003</v>
      </c>
      <c r="O121" s="274">
        <v>43894.436999999998</v>
      </c>
      <c r="P121" s="274">
        <v>44911.81</v>
      </c>
      <c r="Q121" s="274">
        <v>45988.447</v>
      </c>
      <c r="R121" s="274">
        <v>47122.930999999997</v>
      </c>
      <c r="S121" s="274">
        <v>48312.887999999999</v>
      </c>
      <c r="T121" s="274">
        <v>49555.472000000002</v>
      </c>
      <c r="U121" s="274">
        <v>50848.775000000001</v>
      </c>
      <c r="V121" s="274">
        <v>52194.629000000001</v>
      </c>
      <c r="W121" s="274">
        <v>53594.445</v>
      </c>
      <c r="X121" s="274">
        <v>55045.896999999997</v>
      </c>
      <c r="Y121" s="274">
        <v>56545.923999999999</v>
      </c>
      <c r="Z121" s="274">
        <v>58094.239000000001</v>
      </c>
      <c r="AA121" s="274">
        <v>59690.466999999997</v>
      </c>
      <c r="AB121" s="274">
        <v>61341.254999999997</v>
      </c>
      <c r="AC121" s="274">
        <v>63062.203999999998</v>
      </c>
      <c r="AD121" s="274">
        <v>64873.705000000002</v>
      </c>
      <c r="AE121" s="274">
        <v>66791.495999999999</v>
      </c>
      <c r="AF121" s="274">
        <v>68818.471000000005</v>
      </c>
      <c r="AG121" s="274">
        <v>70953.777000000002</v>
      </c>
      <c r="AH121" s="274">
        <v>73204.087</v>
      </c>
      <c r="AI121" s="274">
        <v>75575.981</v>
      </c>
      <c r="AJ121" s="274">
        <v>78071.983999999997</v>
      </c>
      <c r="AK121" s="274">
        <v>80691.701000000001</v>
      </c>
      <c r="AL121" s="274">
        <v>83427.521999999997</v>
      </c>
      <c r="AM121" s="274">
        <v>86264.620999999999</v>
      </c>
      <c r="AN121" s="274">
        <v>89183.159</v>
      </c>
      <c r="AO121" s="274">
        <v>92165.065000000002</v>
      </c>
      <c r="AP121" s="274">
        <v>95207.133000000002</v>
      </c>
      <c r="AQ121" s="274">
        <v>98301.646999999997</v>
      </c>
      <c r="AR121" s="274">
        <v>101420.791</v>
      </c>
      <c r="AS121" s="274">
        <v>104530.689</v>
      </c>
      <c r="AT121" s="274">
        <v>107607.639</v>
      </c>
      <c r="AU121" s="274">
        <v>110634.399</v>
      </c>
      <c r="AV121" s="274">
        <v>113616.16499999999</v>
      </c>
      <c r="AW121" s="274">
        <v>116579.605</v>
      </c>
      <c r="AX121" s="274">
        <v>119564.925</v>
      </c>
      <c r="AY121" s="274">
        <v>122599.749</v>
      </c>
      <c r="AZ121" s="274">
        <v>125697.651</v>
      </c>
      <c r="BA121" s="274">
        <v>128845.692</v>
      </c>
      <c r="BB121" s="274">
        <v>132013.68</v>
      </c>
      <c r="BC121" s="274">
        <v>135158.13200000001</v>
      </c>
      <c r="BD121" s="274">
        <v>138250.48699999999</v>
      </c>
      <c r="BE121" s="274">
        <v>141282.07699999999</v>
      </c>
      <c r="BF121" s="274">
        <v>144271.58600000001</v>
      </c>
      <c r="BG121" s="274">
        <v>147251.53</v>
      </c>
      <c r="BH121" s="274">
        <v>150267.989</v>
      </c>
      <c r="BI121" s="274">
        <v>153356.383</v>
      </c>
      <c r="BJ121" s="274">
        <v>156524.18900000001</v>
      </c>
      <c r="BK121" s="274">
        <v>159767.67199999999</v>
      </c>
      <c r="BL121" s="274">
        <v>163096.98499999999</v>
      </c>
      <c r="BM121" s="274">
        <v>166520.98300000001</v>
      </c>
      <c r="BN121" s="274">
        <v>170043.91800000001</v>
      </c>
      <c r="BO121" s="274">
        <v>173669.64799999999</v>
      </c>
      <c r="BP121" s="274">
        <v>177392.25200000001</v>
      </c>
      <c r="BQ121" s="274">
        <v>181192.64600000001</v>
      </c>
      <c r="BR121" s="274">
        <v>185044.28599999999</v>
      </c>
      <c r="BS121" s="274">
        <v>188924.87400000001</v>
      </c>
    </row>
    <row r="122" spans="1:71" x14ac:dyDescent="0.4">
      <c r="A122" s="270">
        <v>103</v>
      </c>
      <c r="B122" s="271" t="s">
        <v>890</v>
      </c>
      <c r="C122" s="276" t="s">
        <v>757</v>
      </c>
      <c r="D122" s="273"/>
      <c r="E122" s="273">
        <v>144</v>
      </c>
      <c r="F122" s="274">
        <v>8075.81</v>
      </c>
      <c r="G122" s="274">
        <v>8201.5049999999992</v>
      </c>
      <c r="H122" s="274">
        <v>8338.7829999999994</v>
      </c>
      <c r="I122" s="274">
        <v>8489.2489999999998</v>
      </c>
      <c r="J122" s="274">
        <v>8653.7839999999997</v>
      </c>
      <c r="K122" s="274">
        <v>8832.5409999999993</v>
      </c>
      <c r="L122" s="274">
        <v>9024.9110000000001</v>
      </c>
      <c r="M122" s="274">
        <v>9229.56</v>
      </c>
      <c r="N122" s="274">
        <v>9444.5409999999993</v>
      </c>
      <c r="O122" s="274">
        <v>9667.4850000000006</v>
      </c>
      <c r="P122" s="274">
        <v>9896.1720000000005</v>
      </c>
      <c r="Q122" s="274">
        <v>10129.134</v>
      </c>
      <c r="R122" s="274">
        <v>10366.19</v>
      </c>
      <c r="S122" s="274">
        <v>10608.672</v>
      </c>
      <c r="T122" s="274">
        <v>10858.78</v>
      </c>
      <c r="U122" s="274">
        <v>11117.684999999999</v>
      </c>
      <c r="V122" s="274">
        <v>11385.942999999999</v>
      </c>
      <c r="W122" s="274">
        <v>11661.66</v>
      </c>
      <c r="X122" s="274">
        <v>11940.634</v>
      </c>
      <c r="Y122" s="274">
        <v>12217.248</v>
      </c>
      <c r="Z122" s="274">
        <v>12487.493</v>
      </c>
      <c r="AA122" s="274">
        <v>12749.209000000001</v>
      </c>
      <c r="AB122" s="274">
        <v>13003.394</v>
      </c>
      <c r="AC122" s="274">
        <v>13253.063</v>
      </c>
      <c r="AD122" s="274">
        <v>13502.87</v>
      </c>
      <c r="AE122" s="274">
        <v>13755.99</v>
      </c>
      <c r="AF122" s="274">
        <v>14013.61</v>
      </c>
      <c r="AG122" s="274">
        <v>14274.022999999999</v>
      </c>
      <c r="AH122" s="274">
        <v>14534.087</v>
      </c>
      <c r="AI122" s="274">
        <v>14789.3</v>
      </c>
      <c r="AJ122" s="274">
        <v>15036.562</v>
      </c>
      <c r="AK122" s="274">
        <v>15274.137000000001</v>
      </c>
      <c r="AL122" s="274">
        <v>15503.32</v>
      </c>
      <c r="AM122" s="274">
        <v>15727.67</v>
      </c>
      <c r="AN122" s="274">
        <v>15952.35</v>
      </c>
      <c r="AO122" s="274">
        <v>16180.776</v>
      </c>
      <c r="AP122" s="274">
        <v>16413.728999999999</v>
      </c>
      <c r="AQ122" s="274">
        <v>16648.991999999998</v>
      </c>
      <c r="AR122" s="274">
        <v>16883.25</v>
      </c>
      <c r="AS122" s="274">
        <v>17111.785</v>
      </c>
      <c r="AT122" s="274">
        <v>17330.816999999999</v>
      </c>
      <c r="AU122" s="274">
        <v>17540.761999999999</v>
      </c>
      <c r="AV122" s="274">
        <v>17741.793000000001</v>
      </c>
      <c r="AW122" s="274">
        <v>17929.772000000001</v>
      </c>
      <c r="AX122" s="274">
        <v>18099.591</v>
      </c>
      <c r="AY122" s="274">
        <v>18248.435000000001</v>
      </c>
      <c r="AZ122" s="274">
        <v>18373.53</v>
      </c>
      <c r="BA122" s="274">
        <v>18478.024000000001</v>
      </c>
      <c r="BB122" s="274">
        <v>18572.347000000002</v>
      </c>
      <c r="BC122" s="274">
        <v>18670.843000000001</v>
      </c>
      <c r="BD122" s="274">
        <v>18783.744999999999</v>
      </c>
      <c r="BE122" s="274">
        <v>18914.866000000002</v>
      </c>
      <c r="BF122" s="274">
        <v>19061.065999999999</v>
      </c>
      <c r="BG122" s="274">
        <v>19217.031999999999</v>
      </c>
      <c r="BH122" s="274">
        <v>19374.280999999999</v>
      </c>
      <c r="BI122" s="274">
        <v>19526.405999999999</v>
      </c>
      <c r="BJ122" s="274">
        <v>19672.418000000001</v>
      </c>
      <c r="BK122" s="274">
        <v>19813.815999999999</v>
      </c>
      <c r="BL122" s="274">
        <v>19949.553</v>
      </c>
      <c r="BM122" s="274">
        <v>20078.873</v>
      </c>
      <c r="BN122" s="274">
        <v>20201.312000000002</v>
      </c>
      <c r="BO122" s="274">
        <v>20315.672999999999</v>
      </c>
      <c r="BP122" s="274">
        <v>20421.862000000001</v>
      </c>
      <c r="BQ122" s="274">
        <v>20521.958999999999</v>
      </c>
      <c r="BR122" s="274">
        <v>20618.991000000002</v>
      </c>
      <c r="BS122" s="274">
        <v>20715.009999999998</v>
      </c>
    </row>
    <row r="123" spans="1:71" x14ac:dyDescent="0.4">
      <c r="A123" s="270">
        <v>104</v>
      </c>
      <c r="B123" s="271" t="s">
        <v>890</v>
      </c>
      <c r="C123" s="277" t="s">
        <v>929</v>
      </c>
      <c r="D123" s="273"/>
      <c r="E123" s="273">
        <v>920</v>
      </c>
      <c r="F123" s="274">
        <v>164900.34400000001</v>
      </c>
      <c r="G123" s="274">
        <v>168675.69200000001</v>
      </c>
      <c r="H123" s="274">
        <v>172725.86199999999</v>
      </c>
      <c r="I123" s="274">
        <v>177041.46599999999</v>
      </c>
      <c r="J123" s="274">
        <v>181612.83100000001</v>
      </c>
      <c r="K123" s="274">
        <v>186430.033</v>
      </c>
      <c r="L123" s="274">
        <v>191482.837</v>
      </c>
      <c r="M123" s="274">
        <v>196760.739</v>
      </c>
      <c r="N123" s="274">
        <v>202253.04300000001</v>
      </c>
      <c r="O123" s="274">
        <v>207948.99100000001</v>
      </c>
      <c r="P123" s="274">
        <v>213838.117</v>
      </c>
      <c r="Q123" s="274">
        <v>219910.677</v>
      </c>
      <c r="R123" s="274">
        <v>226157.99</v>
      </c>
      <c r="S123" s="274">
        <v>232572.59</v>
      </c>
      <c r="T123" s="274">
        <v>239147.796</v>
      </c>
      <c r="U123" s="274">
        <v>245876.45300000001</v>
      </c>
      <c r="V123" s="274">
        <v>252746.649</v>
      </c>
      <c r="W123" s="274">
        <v>259748.60500000001</v>
      </c>
      <c r="X123" s="274">
        <v>266879.50300000003</v>
      </c>
      <c r="Y123" s="274">
        <v>274138.67200000002</v>
      </c>
      <c r="Z123" s="274">
        <v>281521.14299999998</v>
      </c>
      <c r="AA123" s="274">
        <v>289037.05699999997</v>
      </c>
      <c r="AB123" s="274">
        <v>296673.43400000001</v>
      </c>
      <c r="AC123" s="274">
        <v>304375.91399999999</v>
      </c>
      <c r="AD123" s="274">
        <v>312073.20299999998</v>
      </c>
      <c r="AE123" s="274">
        <v>319720.69300000003</v>
      </c>
      <c r="AF123" s="274">
        <v>327281.603</v>
      </c>
      <c r="AG123" s="274">
        <v>334785.69199999998</v>
      </c>
      <c r="AH123" s="274">
        <v>342335.84100000001</v>
      </c>
      <c r="AI123" s="274">
        <v>350076.22100000002</v>
      </c>
      <c r="AJ123" s="274">
        <v>358105.71100000001</v>
      </c>
      <c r="AK123" s="274">
        <v>366454.08600000001</v>
      </c>
      <c r="AL123" s="274">
        <v>375074.32900000003</v>
      </c>
      <c r="AM123" s="274">
        <v>383893.01699999999</v>
      </c>
      <c r="AN123" s="274">
        <v>392800.96799999999</v>
      </c>
      <c r="AO123" s="274">
        <v>401711.75599999999</v>
      </c>
      <c r="AP123" s="274">
        <v>410604.848</v>
      </c>
      <c r="AQ123" s="274">
        <v>419482.69</v>
      </c>
      <c r="AR123" s="274">
        <v>428308.64899999998</v>
      </c>
      <c r="AS123" s="274">
        <v>437045.34700000001</v>
      </c>
      <c r="AT123" s="274">
        <v>445665.26</v>
      </c>
      <c r="AU123" s="274">
        <v>454143.63199999998</v>
      </c>
      <c r="AV123" s="274">
        <v>462477.15500000003</v>
      </c>
      <c r="AW123" s="274">
        <v>470688.17800000001</v>
      </c>
      <c r="AX123" s="274">
        <v>478813.995</v>
      </c>
      <c r="AY123" s="274">
        <v>486881.24400000001</v>
      </c>
      <c r="AZ123" s="274">
        <v>494890.88699999999</v>
      </c>
      <c r="BA123" s="274">
        <v>502830.092</v>
      </c>
      <c r="BB123" s="274">
        <v>510695.38799999998</v>
      </c>
      <c r="BC123" s="274">
        <v>518480.478</v>
      </c>
      <c r="BD123" s="274">
        <v>526178.80799999996</v>
      </c>
      <c r="BE123" s="274">
        <v>533808.08900000004</v>
      </c>
      <c r="BF123" s="274">
        <v>541368.19700000004</v>
      </c>
      <c r="BG123" s="274">
        <v>548814.978</v>
      </c>
      <c r="BH123" s="274">
        <v>556088.75800000003</v>
      </c>
      <c r="BI123" s="274">
        <v>563156.68099999998</v>
      </c>
      <c r="BJ123" s="274">
        <v>569985.01199999999</v>
      </c>
      <c r="BK123" s="274">
        <v>576612.86100000003</v>
      </c>
      <c r="BL123" s="274">
        <v>583168.34299999999</v>
      </c>
      <c r="BM123" s="274">
        <v>589826.50800000003</v>
      </c>
      <c r="BN123" s="274">
        <v>596707.85499999998</v>
      </c>
      <c r="BO123" s="274">
        <v>603860.44799999997</v>
      </c>
      <c r="BP123" s="274">
        <v>611233.05000000005</v>
      </c>
      <c r="BQ123" s="274">
        <v>618723.69900000002</v>
      </c>
      <c r="BR123" s="274">
        <v>626180.71699999995</v>
      </c>
      <c r="BS123" s="274">
        <v>633489.946</v>
      </c>
    </row>
    <row r="124" spans="1:71" x14ac:dyDescent="0.4">
      <c r="A124" s="270">
        <v>105</v>
      </c>
      <c r="B124" s="271" t="s">
        <v>890</v>
      </c>
      <c r="C124" s="276" t="s">
        <v>274</v>
      </c>
      <c r="D124" s="273"/>
      <c r="E124" s="273">
        <v>96</v>
      </c>
      <c r="F124" s="274">
        <v>48.000999999999998</v>
      </c>
      <c r="G124" s="274">
        <v>50.970999999999997</v>
      </c>
      <c r="H124" s="274">
        <v>53.932000000000002</v>
      </c>
      <c r="I124" s="274">
        <v>56.957999999999998</v>
      </c>
      <c r="J124" s="274">
        <v>60.103999999999999</v>
      </c>
      <c r="K124" s="274">
        <v>63.401000000000003</v>
      </c>
      <c r="L124" s="274">
        <v>66.858999999999995</v>
      </c>
      <c r="M124" s="274">
        <v>70.465000000000003</v>
      </c>
      <c r="N124" s="274">
        <v>74.188999999999993</v>
      </c>
      <c r="O124" s="274">
        <v>77.989000000000004</v>
      </c>
      <c r="P124" s="274">
        <v>81.825000000000003</v>
      </c>
      <c r="Q124" s="274">
        <v>85.686999999999998</v>
      </c>
      <c r="R124" s="274">
        <v>89.602999999999994</v>
      </c>
      <c r="S124" s="274">
        <v>93.65</v>
      </c>
      <c r="T124" s="274">
        <v>97.933000000000007</v>
      </c>
      <c r="U124" s="274">
        <v>102.52500000000001</v>
      </c>
      <c r="V124" s="274">
        <v>107.45</v>
      </c>
      <c r="W124" s="274">
        <v>112.68</v>
      </c>
      <c r="X124" s="274">
        <v>118.176</v>
      </c>
      <c r="Y124" s="274">
        <v>123.875</v>
      </c>
      <c r="Z124" s="274">
        <v>129.72900000000001</v>
      </c>
      <c r="AA124" s="274">
        <v>135.71600000000001</v>
      </c>
      <c r="AB124" s="274">
        <v>141.83600000000001</v>
      </c>
      <c r="AC124" s="274">
        <v>148.06700000000001</v>
      </c>
      <c r="AD124" s="274">
        <v>154.39500000000001</v>
      </c>
      <c r="AE124" s="274">
        <v>160.79900000000001</v>
      </c>
      <c r="AF124" s="274">
        <v>167.28299999999999</v>
      </c>
      <c r="AG124" s="274">
        <v>173.82599999999999</v>
      </c>
      <c r="AH124" s="274">
        <v>180.357</v>
      </c>
      <c r="AI124" s="274">
        <v>186.786</v>
      </c>
      <c r="AJ124" s="274">
        <v>193.05699999999999</v>
      </c>
      <c r="AK124" s="274">
        <v>199.136</v>
      </c>
      <c r="AL124" s="274">
        <v>205.06100000000001</v>
      </c>
      <c r="AM124" s="274">
        <v>210.93299999999999</v>
      </c>
      <c r="AN124" s="274">
        <v>216.893</v>
      </c>
      <c r="AO124" s="274">
        <v>223.04900000000001</v>
      </c>
      <c r="AP124" s="274">
        <v>229.41800000000001</v>
      </c>
      <c r="AQ124" s="274">
        <v>235.98</v>
      </c>
      <c r="AR124" s="274">
        <v>242.75</v>
      </c>
      <c r="AS124" s="274">
        <v>249.738</v>
      </c>
      <c r="AT124" s="274">
        <v>256.93900000000002</v>
      </c>
      <c r="AU124" s="274">
        <v>264.36500000000001</v>
      </c>
      <c r="AV124" s="274">
        <v>271.98899999999998</v>
      </c>
      <c r="AW124" s="274">
        <v>279.71699999999998</v>
      </c>
      <c r="AX124" s="274">
        <v>287.423</v>
      </c>
      <c r="AY124" s="274">
        <v>295.01</v>
      </c>
      <c r="AZ124" s="274">
        <v>302.44900000000001</v>
      </c>
      <c r="BA124" s="274">
        <v>309.74599999999998</v>
      </c>
      <c r="BB124" s="274">
        <v>316.87299999999999</v>
      </c>
      <c r="BC124" s="274">
        <v>323.81200000000001</v>
      </c>
      <c r="BD124" s="274">
        <v>330.55399999999997</v>
      </c>
      <c r="BE124" s="274">
        <v>337.07400000000001</v>
      </c>
      <c r="BF124" s="274">
        <v>343.38299999999998</v>
      </c>
      <c r="BG124" s="274">
        <v>349.55700000000002</v>
      </c>
      <c r="BH124" s="274">
        <v>355.7</v>
      </c>
      <c r="BI124" s="274">
        <v>361.88900000000001</v>
      </c>
      <c r="BJ124" s="274">
        <v>368.15</v>
      </c>
      <c r="BK124" s="274">
        <v>374.459</v>
      </c>
      <c r="BL124" s="274">
        <v>380.786</v>
      </c>
      <c r="BM124" s="274">
        <v>387.08</v>
      </c>
      <c r="BN124" s="274">
        <v>393.30200000000002</v>
      </c>
      <c r="BO124" s="274">
        <v>399.44299999999998</v>
      </c>
      <c r="BP124" s="274">
        <v>405.512</v>
      </c>
      <c r="BQ124" s="274">
        <v>411.49900000000002</v>
      </c>
      <c r="BR124" s="274">
        <v>417.39400000000001</v>
      </c>
      <c r="BS124" s="274">
        <v>423.18799999999999</v>
      </c>
    </row>
    <row r="125" spans="1:71" x14ac:dyDescent="0.4">
      <c r="A125" s="270">
        <v>106</v>
      </c>
      <c r="B125" s="271" t="s">
        <v>890</v>
      </c>
      <c r="C125" s="276" t="s">
        <v>292</v>
      </c>
      <c r="D125" s="273"/>
      <c r="E125" s="273">
        <v>116</v>
      </c>
      <c r="F125" s="274">
        <v>4432.7160000000003</v>
      </c>
      <c r="G125" s="274">
        <v>4539.6559999999999</v>
      </c>
      <c r="H125" s="274">
        <v>4658.6530000000002</v>
      </c>
      <c r="I125" s="274">
        <v>4784.7920000000004</v>
      </c>
      <c r="J125" s="274">
        <v>4914.4470000000001</v>
      </c>
      <c r="K125" s="274">
        <v>5045.2839999999997</v>
      </c>
      <c r="L125" s="274">
        <v>5176.326</v>
      </c>
      <c r="M125" s="274">
        <v>5307.8860000000004</v>
      </c>
      <c r="N125" s="274">
        <v>5441.3649999999998</v>
      </c>
      <c r="O125" s="274">
        <v>5578.9049999999997</v>
      </c>
      <c r="P125" s="274">
        <v>5722.37</v>
      </c>
      <c r="Q125" s="274">
        <v>5872.2470000000003</v>
      </c>
      <c r="R125" s="274">
        <v>6026.6959999999999</v>
      </c>
      <c r="S125" s="274">
        <v>6181.1369999999997</v>
      </c>
      <c r="T125" s="274">
        <v>6329.4110000000001</v>
      </c>
      <c r="U125" s="274">
        <v>6467.1959999999999</v>
      </c>
      <c r="V125" s="274">
        <v>6588.9930000000004</v>
      </c>
      <c r="W125" s="274">
        <v>6695.46</v>
      </c>
      <c r="X125" s="274">
        <v>6795.5140000000001</v>
      </c>
      <c r="Y125" s="274">
        <v>6902.0249999999996</v>
      </c>
      <c r="Z125" s="274">
        <v>7022.1850000000004</v>
      </c>
      <c r="AA125" s="274">
        <v>7167.7160000000003</v>
      </c>
      <c r="AB125" s="274">
        <v>7331.1620000000003</v>
      </c>
      <c r="AC125" s="274">
        <v>7478.1469999999999</v>
      </c>
      <c r="AD125" s="274">
        <v>7561.5829999999996</v>
      </c>
      <c r="AE125" s="274">
        <v>7551.9880000000003</v>
      </c>
      <c r="AF125" s="274">
        <v>7431.5050000000001</v>
      </c>
      <c r="AG125" s="274">
        <v>7222.05</v>
      </c>
      <c r="AH125" s="274">
        <v>6982.5219999999999</v>
      </c>
      <c r="AI125" s="274">
        <v>6795.1019999999999</v>
      </c>
      <c r="AJ125" s="274">
        <v>6718.241</v>
      </c>
      <c r="AK125" s="274">
        <v>6774.509</v>
      </c>
      <c r="AL125" s="274">
        <v>6945.0529999999999</v>
      </c>
      <c r="AM125" s="274">
        <v>7196.1390000000001</v>
      </c>
      <c r="AN125" s="274">
        <v>7475.0110000000004</v>
      </c>
      <c r="AO125" s="274">
        <v>7743.0649999999996</v>
      </c>
      <c r="AP125" s="274">
        <v>7990.1329999999998</v>
      </c>
      <c r="AQ125" s="274">
        <v>8228.268</v>
      </c>
      <c r="AR125" s="274">
        <v>8467.1090000000004</v>
      </c>
      <c r="AS125" s="274">
        <v>8723.5499999999993</v>
      </c>
      <c r="AT125" s="274">
        <v>9008.8559999999998</v>
      </c>
      <c r="AU125" s="274">
        <v>9323.607</v>
      </c>
      <c r="AV125" s="274">
        <v>9659.2379999999994</v>
      </c>
      <c r="AW125" s="274">
        <v>10007.092000000001</v>
      </c>
      <c r="AX125" s="274">
        <v>10355.253000000001</v>
      </c>
      <c r="AY125" s="274">
        <v>10694.459000000001</v>
      </c>
      <c r="AZ125" s="274">
        <v>11022.162</v>
      </c>
      <c r="BA125" s="274">
        <v>11338.733</v>
      </c>
      <c r="BB125" s="274">
        <v>11641.509</v>
      </c>
      <c r="BC125" s="274">
        <v>11928.306</v>
      </c>
      <c r="BD125" s="274">
        <v>12197.905000000001</v>
      </c>
      <c r="BE125" s="274">
        <v>12448.880999999999</v>
      </c>
      <c r="BF125" s="274">
        <v>12681.984</v>
      </c>
      <c r="BG125" s="274">
        <v>12901.217000000001</v>
      </c>
      <c r="BH125" s="274">
        <v>13112.334000000001</v>
      </c>
      <c r="BI125" s="274">
        <v>13320.058000000001</v>
      </c>
      <c r="BJ125" s="274">
        <v>13525.36</v>
      </c>
      <c r="BK125" s="274">
        <v>13728.7</v>
      </c>
      <c r="BL125" s="274">
        <v>13933.66</v>
      </c>
      <c r="BM125" s="274">
        <v>14144.337</v>
      </c>
      <c r="BN125" s="274">
        <v>14363.585999999999</v>
      </c>
      <c r="BO125" s="274">
        <v>14593.099</v>
      </c>
      <c r="BP125" s="274">
        <v>14832.254999999999</v>
      </c>
      <c r="BQ125" s="274">
        <v>15078.564</v>
      </c>
      <c r="BR125" s="274">
        <v>15328.136</v>
      </c>
      <c r="BS125" s="274">
        <v>15577.898999999999</v>
      </c>
    </row>
    <row r="126" spans="1:71" x14ac:dyDescent="0.4">
      <c r="A126" s="270">
        <v>107</v>
      </c>
      <c r="B126" s="271" t="s">
        <v>890</v>
      </c>
      <c r="C126" s="276" t="s">
        <v>462</v>
      </c>
      <c r="D126" s="273"/>
      <c r="E126" s="273">
        <v>360</v>
      </c>
      <c r="F126" s="274">
        <v>69543.319000000003</v>
      </c>
      <c r="G126" s="274">
        <v>70869.607999999993</v>
      </c>
      <c r="H126" s="274">
        <v>72309.902000000002</v>
      </c>
      <c r="I126" s="274">
        <v>73866.52</v>
      </c>
      <c r="J126" s="274">
        <v>75539.737999999998</v>
      </c>
      <c r="K126" s="274">
        <v>77327.798999999999</v>
      </c>
      <c r="L126" s="274">
        <v>79226.786999999997</v>
      </c>
      <c r="M126" s="274">
        <v>81230.748999999996</v>
      </c>
      <c r="N126" s="274">
        <v>83332.054000000004</v>
      </c>
      <c r="O126" s="274">
        <v>85521.981</v>
      </c>
      <c r="P126" s="274">
        <v>87792.512000000002</v>
      </c>
      <c r="Q126" s="274">
        <v>90138.235000000001</v>
      </c>
      <c r="R126" s="274">
        <v>92558.005999999994</v>
      </c>
      <c r="S126" s="274">
        <v>95055.668999999994</v>
      </c>
      <c r="T126" s="274">
        <v>97638.027000000002</v>
      </c>
      <c r="U126" s="274">
        <v>100308.89599999999</v>
      </c>
      <c r="V126" s="274">
        <v>103067.352</v>
      </c>
      <c r="W126" s="274">
        <v>105907.40300000001</v>
      </c>
      <c r="X126" s="274">
        <v>108821.565</v>
      </c>
      <c r="Y126" s="274">
        <v>111800.09</v>
      </c>
      <c r="Z126" s="274">
        <v>114834.781</v>
      </c>
      <c r="AA126" s="274">
        <v>117921.99400000001</v>
      </c>
      <c r="AB126" s="274">
        <v>121059.511</v>
      </c>
      <c r="AC126" s="274">
        <v>124242.299</v>
      </c>
      <c r="AD126" s="274">
        <v>127465.232</v>
      </c>
      <c r="AE126" s="274">
        <v>130724.118</v>
      </c>
      <c r="AF126" s="274">
        <v>134010.69500000001</v>
      </c>
      <c r="AG126" s="274">
        <v>137322.122</v>
      </c>
      <c r="AH126" s="274">
        <v>140665.859</v>
      </c>
      <c r="AI126" s="274">
        <v>144053.516</v>
      </c>
      <c r="AJ126" s="274">
        <v>147490.36600000001</v>
      </c>
      <c r="AK126" s="274">
        <v>150978.84099999999</v>
      </c>
      <c r="AL126" s="274">
        <v>154506.266</v>
      </c>
      <c r="AM126" s="274">
        <v>158044.34299999999</v>
      </c>
      <c r="AN126" s="274">
        <v>161555.584</v>
      </c>
      <c r="AO126" s="274">
        <v>165012.19500000001</v>
      </c>
      <c r="AP126" s="274">
        <v>168402.027</v>
      </c>
      <c r="AQ126" s="274">
        <v>171728.916</v>
      </c>
      <c r="AR126" s="274">
        <v>175000.91899999999</v>
      </c>
      <c r="AS126" s="274">
        <v>178233.231</v>
      </c>
      <c r="AT126" s="274">
        <v>181436.821</v>
      </c>
      <c r="AU126" s="274">
        <v>184614.74</v>
      </c>
      <c r="AV126" s="274">
        <v>187762.09700000001</v>
      </c>
      <c r="AW126" s="274">
        <v>190873.24799999999</v>
      </c>
      <c r="AX126" s="274">
        <v>193939.91200000001</v>
      </c>
      <c r="AY126" s="274">
        <v>196957.845</v>
      </c>
      <c r="AZ126" s="274">
        <v>199926.61499999999</v>
      </c>
      <c r="BA126" s="274">
        <v>202853.85</v>
      </c>
      <c r="BB126" s="274">
        <v>205753.49299999999</v>
      </c>
      <c r="BC126" s="274">
        <v>208644.079</v>
      </c>
      <c r="BD126" s="274">
        <v>211540.42800000001</v>
      </c>
      <c r="BE126" s="274">
        <v>214448.30100000001</v>
      </c>
      <c r="BF126" s="274">
        <v>217369.087</v>
      </c>
      <c r="BG126" s="274">
        <v>220307.80900000001</v>
      </c>
      <c r="BH126" s="274">
        <v>223268.606</v>
      </c>
      <c r="BI126" s="274">
        <v>226254.70300000001</v>
      </c>
      <c r="BJ126" s="274">
        <v>229263.98</v>
      </c>
      <c r="BK126" s="274">
        <v>232296.83</v>
      </c>
      <c r="BL126" s="274">
        <v>235360.76500000001</v>
      </c>
      <c r="BM126" s="274">
        <v>238465.16500000001</v>
      </c>
      <c r="BN126" s="274">
        <v>241613.12599999999</v>
      </c>
      <c r="BO126" s="274">
        <v>244808.25399999999</v>
      </c>
      <c r="BP126" s="274">
        <v>248037.853</v>
      </c>
      <c r="BQ126" s="274">
        <v>251268.27600000001</v>
      </c>
      <c r="BR126" s="274">
        <v>254454.77799999999</v>
      </c>
      <c r="BS126" s="274">
        <v>257563.815</v>
      </c>
    </row>
    <row r="127" spans="1:71" x14ac:dyDescent="0.4">
      <c r="A127" s="270">
        <v>108</v>
      </c>
      <c r="B127" s="271" t="s">
        <v>890</v>
      </c>
      <c r="C127" s="276" t="s">
        <v>512</v>
      </c>
      <c r="D127" s="273"/>
      <c r="E127" s="273">
        <v>418</v>
      </c>
      <c r="F127" s="274">
        <v>1682.9159999999999</v>
      </c>
      <c r="G127" s="274">
        <v>1723.05</v>
      </c>
      <c r="H127" s="274">
        <v>1763.7909999999999</v>
      </c>
      <c r="I127" s="274">
        <v>1805.21</v>
      </c>
      <c r="J127" s="274">
        <v>1847.377</v>
      </c>
      <c r="K127" s="274">
        <v>1890.3630000000001</v>
      </c>
      <c r="L127" s="274">
        <v>1934.2349999999999</v>
      </c>
      <c r="M127" s="274">
        <v>1979.06</v>
      </c>
      <c r="N127" s="274">
        <v>2024.9069999999999</v>
      </c>
      <c r="O127" s="274">
        <v>2071.8440000000001</v>
      </c>
      <c r="P127" s="274">
        <v>2119.944</v>
      </c>
      <c r="Q127" s="274">
        <v>2169.2869999999998</v>
      </c>
      <c r="R127" s="274">
        <v>2219.9639999999999</v>
      </c>
      <c r="S127" s="274">
        <v>2272.078</v>
      </c>
      <c r="T127" s="274">
        <v>2325.7420000000002</v>
      </c>
      <c r="U127" s="274">
        <v>2381.0630000000001</v>
      </c>
      <c r="V127" s="274">
        <v>2437.527</v>
      </c>
      <c r="W127" s="274">
        <v>2495.0929999999998</v>
      </c>
      <c r="X127" s="274">
        <v>2554.8429999999998</v>
      </c>
      <c r="Y127" s="274">
        <v>2618.2460000000001</v>
      </c>
      <c r="Z127" s="274">
        <v>2686.0250000000001</v>
      </c>
      <c r="AA127" s="274">
        <v>2759.634</v>
      </c>
      <c r="AB127" s="274">
        <v>2837.9670000000001</v>
      </c>
      <c r="AC127" s="274">
        <v>2916.1480000000001</v>
      </c>
      <c r="AD127" s="274">
        <v>2987.5439999999999</v>
      </c>
      <c r="AE127" s="274">
        <v>3047.864</v>
      </c>
      <c r="AF127" s="274">
        <v>3094.94</v>
      </c>
      <c r="AG127" s="274">
        <v>3131.4920000000002</v>
      </c>
      <c r="AH127" s="274">
        <v>3164.1460000000002</v>
      </c>
      <c r="AI127" s="274">
        <v>3202.27</v>
      </c>
      <c r="AJ127" s="274">
        <v>3252.701</v>
      </c>
      <c r="AK127" s="274">
        <v>3317.57</v>
      </c>
      <c r="AL127" s="274">
        <v>3395.1129999999998</v>
      </c>
      <c r="AM127" s="274">
        <v>3483.4920000000002</v>
      </c>
      <c r="AN127" s="274">
        <v>3579.37</v>
      </c>
      <c r="AO127" s="274">
        <v>3680.145</v>
      </c>
      <c r="AP127" s="274">
        <v>3785.23</v>
      </c>
      <c r="AQ127" s="274">
        <v>3895.0659999999998</v>
      </c>
      <c r="AR127" s="274">
        <v>4009.1210000000001</v>
      </c>
      <c r="AS127" s="274">
        <v>4126.9350000000004</v>
      </c>
      <c r="AT127" s="274">
        <v>4247.8389999999999</v>
      </c>
      <c r="AU127" s="274">
        <v>4371.549</v>
      </c>
      <c r="AV127" s="274">
        <v>4496.9709999999995</v>
      </c>
      <c r="AW127" s="274">
        <v>4621.6850000000004</v>
      </c>
      <c r="AX127" s="274">
        <v>4742.6850000000004</v>
      </c>
      <c r="AY127" s="274">
        <v>4857.7740000000003</v>
      </c>
      <c r="AZ127" s="274">
        <v>4966.3029999999999</v>
      </c>
      <c r="BA127" s="274">
        <v>5068.6580000000004</v>
      </c>
      <c r="BB127" s="274">
        <v>5165.0720000000001</v>
      </c>
      <c r="BC127" s="274">
        <v>5256.2070000000003</v>
      </c>
      <c r="BD127" s="274">
        <v>5342.8789999999999</v>
      </c>
      <c r="BE127" s="274">
        <v>5424.701</v>
      </c>
      <c r="BF127" s="274">
        <v>5502.34</v>
      </c>
      <c r="BG127" s="274">
        <v>5579.0029999999997</v>
      </c>
      <c r="BH127" s="274">
        <v>5658.8940000000002</v>
      </c>
      <c r="BI127" s="274">
        <v>5745.0119999999997</v>
      </c>
      <c r="BJ127" s="274">
        <v>5838.8370000000004</v>
      </c>
      <c r="BK127" s="274">
        <v>5939.634</v>
      </c>
      <c r="BL127" s="274">
        <v>6045.4390000000003</v>
      </c>
      <c r="BM127" s="274">
        <v>6153.1530000000002</v>
      </c>
      <c r="BN127" s="274">
        <v>6260.5439999999999</v>
      </c>
      <c r="BO127" s="274">
        <v>6366.9089999999997</v>
      </c>
      <c r="BP127" s="274">
        <v>6473.05</v>
      </c>
      <c r="BQ127" s="274">
        <v>6579.9849999999997</v>
      </c>
      <c r="BR127" s="274">
        <v>6689.3</v>
      </c>
      <c r="BS127" s="274">
        <v>6802.0230000000001</v>
      </c>
    </row>
    <row r="128" spans="1:71" x14ac:dyDescent="0.4">
      <c r="A128" s="270">
        <v>109</v>
      </c>
      <c r="B128" s="271" t="s">
        <v>890</v>
      </c>
      <c r="C128" s="276" t="s">
        <v>554</v>
      </c>
      <c r="D128" s="273">
        <v>8</v>
      </c>
      <c r="E128" s="273">
        <v>458</v>
      </c>
      <c r="F128" s="274">
        <v>6109.9070000000002</v>
      </c>
      <c r="G128" s="274">
        <v>6261.9160000000002</v>
      </c>
      <c r="H128" s="274">
        <v>6433.1610000000001</v>
      </c>
      <c r="I128" s="274">
        <v>6618.2740000000003</v>
      </c>
      <c r="J128" s="274">
        <v>6813.3779999999997</v>
      </c>
      <c r="K128" s="274">
        <v>7016.0969999999998</v>
      </c>
      <c r="L128" s="274">
        <v>7225.6239999999998</v>
      </c>
      <c r="M128" s="274">
        <v>7442.6490000000003</v>
      </c>
      <c r="N128" s="274">
        <v>7669.1059999999998</v>
      </c>
      <c r="O128" s="274">
        <v>7907.7619999999997</v>
      </c>
      <c r="P128" s="274">
        <v>8160.9750000000004</v>
      </c>
      <c r="Q128" s="274">
        <v>8429.3690000000006</v>
      </c>
      <c r="R128" s="274">
        <v>8710.6779999999999</v>
      </c>
      <c r="S128" s="274">
        <v>8999.2469999999994</v>
      </c>
      <c r="T128" s="274">
        <v>9287.4419999999991</v>
      </c>
      <c r="U128" s="274">
        <v>9569.7839999999997</v>
      </c>
      <c r="V128" s="274">
        <v>9844.116</v>
      </c>
      <c r="W128" s="274">
        <v>10111.92</v>
      </c>
      <c r="X128" s="274">
        <v>10375.877</v>
      </c>
      <c r="Y128" s="274">
        <v>10640.347</v>
      </c>
      <c r="Z128" s="274">
        <v>10908.634</v>
      </c>
      <c r="AA128" s="274">
        <v>11182.078</v>
      </c>
      <c r="AB128" s="274">
        <v>11460.08</v>
      </c>
      <c r="AC128" s="274">
        <v>11741.849</v>
      </c>
      <c r="AD128" s="274">
        <v>12025.93</v>
      </c>
      <c r="AE128" s="274">
        <v>12311.781999999999</v>
      </c>
      <c r="AF128" s="274">
        <v>12599.655000000001</v>
      </c>
      <c r="AG128" s="274">
        <v>12891.715</v>
      </c>
      <c r="AH128" s="274">
        <v>13191.699000000001</v>
      </c>
      <c r="AI128" s="274">
        <v>13504.433000000001</v>
      </c>
      <c r="AJ128" s="274">
        <v>13833.739</v>
      </c>
      <c r="AK128" s="274">
        <v>14180.093000000001</v>
      </c>
      <c r="AL128" s="274">
        <v>14543.584999999999</v>
      </c>
      <c r="AM128" s="274">
        <v>14926.976000000001</v>
      </c>
      <c r="AN128" s="274">
        <v>15333.369000000001</v>
      </c>
      <c r="AO128" s="274">
        <v>15764.34</v>
      </c>
      <c r="AP128" s="274">
        <v>16221.767</v>
      </c>
      <c r="AQ128" s="274">
        <v>16703.5</v>
      </c>
      <c r="AR128" s="274">
        <v>17202.031999999999</v>
      </c>
      <c r="AS128" s="274">
        <v>17707.063999999998</v>
      </c>
      <c r="AT128" s="274">
        <v>18211.097000000002</v>
      </c>
      <c r="AU128" s="274">
        <v>18709.834999999999</v>
      </c>
      <c r="AV128" s="274">
        <v>19204.7</v>
      </c>
      <c r="AW128" s="274">
        <v>19700.761999999999</v>
      </c>
      <c r="AX128" s="274">
        <v>20205.991999999998</v>
      </c>
      <c r="AY128" s="274">
        <v>20725.374</v>
      </c>
      <c r="AZ128" s="274">
        <v>21260.881000000001</v>
      </c>
      <c r="BA128" s="274">
        <v>21808.125</v>
      </c>
      <c r="BB128" s="274">
        <v>22358.128000000001</v>
      </c>
      <c r="BC128" s="274">
        <v>22898.579000000002</v>
      </c>
      <c r="BD128" s="274">
        <v>23420.751</v>
      </c>
      <c r="BE128" s="274">
        <v>23920.963</v>
      </c>
      <c r="BF128" s="274">
        <v>24401.976999999999</v>
      </c>
      <c r="BG128" s="274">
        <v>24869.422999999999</v>
      </c>
      <c r="BH128" s="274">
        <v>25332.026000000002</v>
      </c>
      <c r="BI128" s="274">
        <v>25796.124</v>
      </c>
      <c r="BJ128" s="274">
        <v>26263.047999999999</v>
      </c>
      <c r="BK128" s="274">
        <v>26730.607</v>
      </c>
      <c r="BL128" s="274">
        <v>27197.419000000002</v>
      </c>
      <c r="BM128" s="274">
        <v>27661.017</v>
      </c>
      <c r="BN128" s="274">
        <v>28119.5</v>
      </c>
      <c r="BO128" s="274">
        <v>28572.97</v>
      </c>
      <c r="BP128" s="274">
        <v>29021.94</v>
      </c>
      <c r="BQ128" s="274">
        <v>29465.371999999999</v>
      </c>
      <c r="BR128" s="274">
        <v>29901.996999999999</v>
      </c>
      <c r="BS128" s="274">
        <v>30331.007000000001</v>
      </c>
    </row>
    <row r="129" spans="1:71" x14ac:dyDescent="0.4">
      <c r="A129" s="270">
        <v>110</v>
      </c>
      <c r="B129" s="271" t="s">
        <v>890</v>
      </c>
      <c r="C129" s="276" t="s">
        <v>600</v>
      </c>
      <c r="D129" s="273"/>
      <c r="E129" s="273">
        <v>104</v>
      </c>
      <c r="F129" s="274">
        <v>17527.242999999999</v>
      </c>
      <c r="G129" s="274">
        <v>17850.067999999999</v>
      </c>
      <c r="H129" s="274">
        <v>18182.312000000002</v>
      </c>
      <c r="I129" s="274">
        <v>18529.494999999999</v>
      </c>
      <c r="J129" s="274">
        <v>18895.417000000001</v>
      </c>
      <c r="K129" s="274">
        <v>19282.171999999999</v>
      </c>
      <c r="L129" s="274">
        <v>19690.045999999998</v>
      </c>
      <c r="M129" s="274">
        <v>20117.611000000001</v>
      </c>
      <c r="N129" s="274">
        <v>20562.006000000001</v>
      </c>
      <c r="O129" s="274">
        <v>21019.407999999999</v>
      </c>
      <c r="P129" s="274">
        <v>21486.423999999999</v>
      </c>
      <c r="Q129" s="274">
        <v>21961.594000000001</v>
      </c>
      <c r="R129" s="274">
        <v>22446.69</v>
      </c>
      <c r="S129" s="274">
        <v>22947.286</v>
      </c>
      <c r="T129" s="274">
        <v>23471.163</v>
      </c>
      <c r="U129" s="274">
        <v>24023.64</v>
      </c>
      <c r="V129" s="274">
        <v>24606.863000000001</v>
      </c>
      <c r="W129" s="274">
        <v>25218.375</v>
      </c>
      <c r="X129" s="274">
        <v>25853.248</v>
      </c>
      <c r="Y129" s="274">
        <v>26504.246999999999</v>
      </c>
      <c r="Z129" s="274">
        <v>27166.044999999998</v>
      </c>
      <c r="AA129" s="274">
        <v>27836.648000000001</v>
      </c>
      <c r="AB129" s="274">
        <v>28517.289000000001</v>
      </c>
      <c r="AC129" s="274">
        <v>29209.686000000002</v>
      </c>
      <c r="AD129" s="274">
        <v>29916.827000000001</v>
      </c>
      <c r="AE129" s="274">
        <v>30640.634999999998</v>
      </c>
      <c r="AF129" s="274">
        <v>31379.308000000001</v>
      </c>
      <c r="AG129" s="274">
        <v>32130.696</v>
      </c>
      <c r="AH129" s="274">
        <v>32895.739000000001</v>
      </c>
      <c r="AI129" s="274">
        <v>33675.834999999999</v>
      </c>
      <c r="AJ129" s="274">
        <v>34470.694000000003</v>
      </c>
      <c r="AK129" s="274">
        <v>35279.906999999999</v>
      </c>
      <c r="AL129" s="274">
        <v>36098.908000000003</v>
      </c>
      <c r="AM129" s="274">
        <v>36917.980000000003</v>
      </c>
      <c r="AN129" s="274">
        <v>37724.580999999998</v>
      </c>
      <c r="AO129" s="274">
        <v>38508.821000000004</v>
      </c>
      <c r="AP129" s="274">
        <v>39269.142999999996</v>
      </c>
      <c r="AQ129" s="274">
        <v>40005.368999999999</v>
      </c>
      <c r="AR129" s="274">
        <v>40711.171999999999</v>
      </c>
      <c r="AS129" s="274">
        <v>41379.635000000002</v>
      </c>
      <c r="AT129" s="274">
        <v>42007.309000000001</v>
      </c>
      <c r="AU129" s="274">
        <v>42588.029000000002</v>
      </c>
      <c r="AV129" s="274">
        <v>43126.26</v>
      </c>
      <c r="AW129" s="274">
        <v>43642.311000000002</v>
      </c>
      <c r="AX129" s="274">
        <v>44164.108999999997</v>
      </c>
      <c r="AY129" s="274">
        <v>44710.930999999997</v>
      </c>
      <c r="AZ129" s="274">
        <v>45290.887999999999</v>
      </c>
      <c r="BA129" s="274">
        <v>45895.991000000002</v>
      </c>
      <c r="BB129" s="274">
        <v>46509.586000000003</v>
      </c>
      <c r="BC129" s="274">
        <v>47106.923000000003</v>
      </c>
      <c r="BD129" s="274">
        <v>47669.790999999997</v>
      </c>
      <c r="BE129" s="274">
        <v>48195.684000000001</v>
      </c>
      <c r="BF129" s="274">
        <v>48689.951999999997</v>
      </c>
      <c r="BG129" s="274">
        <v>49151.957999999999</v>
      </c>
      <c r="BH129" s="274">
        <v>49582.750999999997</v>
      </c>
      <c r="BI129" s="274">
        <v>49984.703999999998</v>
      </c>
      <c r="BJ129" s="274">
        <v>50355.559000000001</v>
      </c>
      <c r="BK129" s="274">
        <v>50698.813999999998</v>
      </c>
      <c r="BL129" s="274">
        <v>51030.006000000001</v>
      </c>
      <c r="BM129" s="274">
        <v>51369.724999999999</v>
      </c>
      <c r="BN129" s="274">
        <v>51733.012999999999</v>
      </c>
      <c r="BO129" s="274">
        <v>52125.411</v>
      </c>
      <c r="BP129" s="274">
        <v>52543.841</v>
      </c>
      <c r="BQ129" s="274">
        <v>52983.828999999998</v>
      </c>
      <c r="BR129" s="274">
        <v>53437.159</v>
      </c>
      <c r="BS129" s="274">
        <v>53897.154000000002</v>
      </c>
    </row>
    <row r="130" spans="1:71" x14ac:dyDescent="0.4">
      <c r="A130" s="270">
        <v>111</v>
      </c>
      <c r="B130" s="271" t="s">
        <v>890</v>
      </c>
      <c r="C130" s="276" t="s">
        <v>660</v>
      </c>
      <c r="D130" s="273"/>
      <c r="E130" s="273">
        <v>608</v>
      </c>
      <c r="F130" s="274">
        <v>18580.487000000001</v>
      </c>
      <c r="G130" s="274">
        <v>19246.611000000001</v>
      </c>
      <c r="H130" s="274">
        <v>19945.659</v>
      </c>
      <c r="I130" s="274">
        <v>20670.541000000001</v>
      </c>
      <c r="J130" s="274">
        <v>21416.098999999998</v>
      </c>
      <c r="K130" s="274">
        <v>22179.102999999999</v>
      </c>
      <c r="L130" s="274">
        <v>22958.357</v>
      </c>
      <c r="M130" s="274">
        <v>23754.592000000001</v>
      </c>
      <c r="N130" s="274">
        <v>24570.173999999999</v>
      </c>
      <c r="O130" s="274">
        <v>25408.605</v>
      </c>
      <c r="P130" s="274">
        <v>26273.023000000001</v>
      </c>
      <c r="Q130" s="274">
        <v>27164.617999999999</v>
      </c>
      <c r="R130" s="274">
        <v>28081.234</v>
      </c>
      <c r="S130" s="274">
        <v>29016.77</v>
      </c>
      <c r="T130" s="274">
        <v>29962.877</v>
      </c>
      <c r="U130" s="274">
        <v>30913.931</v>
      </c>
      <c r="V130" s="274">
        <v>31867.564999999999</v>
      </c>
      <c r="W130" s="274">
        <v>32826.601999999999</v>
      </c>
      <c r="X130" s="274">
        <v>33797.040999999997</v>
      </c>
      <c r="Y130" s="274">
        <v>34787.588000000003</v>
      </c>
      <c r="Z130" s="274">
        <v>35804.731</v>
      </c>
      <c r="AA130" s="274">
        <v>36851.055</v>
      </c>
      <c r="AB130" s="274">
        <v>37925.4</v>
      </c>
      <c r="AC130" s="274">
        <v>39026.082000000002</v>
      </c>
      <c r="AD130" s="274">
        <v>40149.959000000003</v>
      </c>
      <c r="AE130" s="274">
        <v>41295.129000000001</v>
      </c>
      <c r="AF130" s="274">
        <v>42461.188999999998</v>
      </c>
      <c r="AG130" s="274">
        <v>43650.332999999999</v>
      </c>
      <c r="AH130" s="274">
        <v>44866.279000000002</v>
      </c>
      <c r="AI130" s="274">
        <v>46113.991999999998</v>
      </c>
      <c r="AJ130" s="274">
        <v>47396.966</v>
      </c>
      <c r="AK130" s="274">
        <v>48715.591999999997</v>
      </c>
      <c r="AL130" s="274">
        <v>50068.493000000002</v>
      </c>
      <c r="AM130" s="274">
        <v>51455.036999999997</v>
      </c>
      <c r="AN130" s="274">
        <v>52873.978999999999</v>
      </c>
      <c r="AO130" s="274">
        <v>54323.650999999998</v>
      </c>
      <c r="AP130" s="274">
        <v>55803.915000000001</v>
      </c>
      <c r="AQ130" s="274">
        <v>57312.794000000002</v>
      </c>
      <c r="AR130" s="274">
        <v>58844.392</v>
      </c>
      <c r="AS130" s="274">
        <v>60391.167999999998</v>
      </c>
      <c r="AT130" s="274">
        <v>61947.34</v>
      </c>
      <c r="AU130" s="274">
        <v>63509.94</v>
      </c>
      <c r="AV130" s="274">
        <v>65078.900999999998</v>
      </c>
      <c r="AW130" s="274">
        <v>66654.953999999998</v>
      </c>
      <c r="AX130" s="274">
        <v>68240.134000000005</v>
      </c>
      <c r="AY130" s="274">
        <v>69835.713000000003</v>
      </c>
      <c r="AZ130" s="274">
        <v>71437.380999999994</v>
      </c>
      <c r="BA130" s="274">
        <v>73042.604999999996</v>
      </c>
      <c r="BB130" s="274">
        <v>74656.228000000003</v>
      </c>
      <c r="BC130" s="274">
        <v>76285.225000000006</v>
      </c>
      <c r="BD130" s="274">
        <v>77932.247000000003</v>
      </c>
      <c r="BE130" s="274">
        <v>79604.540999999997</v>
      </c>
      <c r="BF130" s="274">
        <v>81294.377999999997</v>
      </c>
      <c r="BG130" s="274">
        <v>82971.733999999997</v>
      </c>
      <c r="BH130" s="274">
        <v>84596.248999999996</v>
      </c>
      <c r="BI130" s="274">
        <v>86141.373000000007</v>
      </c>
      <c r="BJ130" s="274">
        <v>87592.899000000005</v>
      </c>
      <c r="BK130" s="274">
        <v>88965.508000000002</v>
      </c>
      <c r="BL130" s="274">
        <v>90297.115000000005</v>
      </c>
      <c r="BM130" s="274">
        <v>91641.880999999994</v>
      </c>
      <c r="BN130" s="274">
        <v>93038.902000000002</v>
      </c>
      <c r="BO130" s="274">
        <v>94501.232999999993</v>
      </c>
      <c r="BP130" s="274">
        <v>96017.322</v>
      </c>
      <c r="BQ130" s="274">
        <v>97571.676000000007</v>
      </c>
      <c r="BR130" s="274">
        <v>99138.69</v>
      </c>
      <c r="BS130" s="274">
        <v>100699.395</v>
      </c>
    </row>
    <row r="131" spans="1:71" x14ac:dyDescent="0.4">
      <c r="A131" s="270">
        <v>112</v>
      </c>
      <c r="B131" s="271" t="s">
        <v>890</v>
      </c>
      <c r="C131" s="276" t="s">
        <v>727</v>
      </c>
      <c r="D131" s="273"/>
      <c r="E131" s="273">
        <v>702</v>
      </c>
      <c r="F131" s="274">
        <v>1022.098</v>
      </c>
      <c r="G131" s="274">
        <v>1067.9639999999999</v>
      </c>
      <c r="H131" s="274">
        <v>1120.277</v>
      </c>
      <c r="I131" s="274">
        <v>1178.0740000000001</v>
      </c>
      <c r="J131" s="274">
        <v>1240.2829999999999</v>
      </c>
      <c r="K131" s="274">
        <v>1305.731</v>
      </c>
      <c r="L131" s="274">
        <v>1373.1210000000001</v>
      </c>
      <c r="M131" s="274">
        <v>1441.0519999999999</v>
      </c>
      <c r="N131" s="274">
        <v>1508.0609999999999</v>
      </c>
      <c r="O131" s="274">
        <v>1572.694</v>
      </c>
      <c r="P131" s="274">
        <v>1633.7180000000001</v>
      </c>
      <c r="Q131" s="274">
        <v>1690.3530000000001</v>
      </c>
      <c r="R131" s="274">
        <v>1742.472</v>
      </c>
      <c r="S131" s="274">
        <v>1790.682</v>
      </c>
      <c r="T131" s="274">
        <v>1836.087</v>
      </c>
      <c r="U131" s="274">
        <v>1879.5709999999999</v>
      </c>
      <c r="V131" s="274">
        <v>1921.0989999999999</v>
      </c>
      <c r="W131" s="274">
        <v>1960.547</v>
      </c>
      <c r="X131" s="274">
        <v>1998.6369999999999</v>
      </c>
      <c r="Y131" s="274">
        <v>2036.27</v>
      </c>
      <c r="Z131" s="274">
        <v>2074.0709999999999</v>
      </c>
      <c r="AA131" s="274">
        <v>2112.873</v>
      </c>
      <c r="AB131" s="274">
        <v>2152.6030000000001</v>
      </c>
      <c r="AC131" s="274">
        <v>2191.924</v>
      </c>
      <c r="AD131" s="274">
        <v>2228.8960000000002</v>
      </c>
      <c r="AE131" s="274">
        <v>2262.393</v>
      </c>
      <c r="AF131" s="274">
        <v>2291.6210000000001</v>
      </c>
      <c r="AG131" s="274">
        <v>2317.7959999999998</v>
      </c>
      <c r="AH131" s="274">
        <v>2344.2240000000002</v>
      </c>
      <c r="AI131" s="274">
        <v>2375.4169999999999</v>
      </c>
      <c r="AJ131" s="274">
        <v>2414.5239999999999</v>
      </c>
      <c r="AK131" s="274">
        <v>2463.2449999999999</v>
      </c>
      <c r="AL131" s="274">
        <v>2520.4940000000001</v>
      </c>
      <c r="AM131" s="274">
        <v>2583.241</v>
      </c>
      <c r="AN131" s="274">
        <v>2646.9810000000002</v>
      </c>
      <c r="AO131" s="274">
        <v>2708.634</v>
      </c>
      <c r="AP131" s="274">
        <v>2766.7550000000001</v>
      </c>
      <c r="AQ131" s="274">
        <v>2822.828</v>
      </c>
      <c r="AR131" s="274">
        <v>2880.1880000000001</v>
      </c>
      <c r="AS131" s="274">
        <v>2943.6329999999998</v>
      </c>
      <c r="AT131" s="274">
        <v>3016.4</v>
      </c>
      <c r="AU131" s="274">
        <v>3100.0909999999999</v>
      </c>
      <c r="AV131" s="274">
        <v>3193.0419999999999</v>
      </c>
      <c r="AW131" s="274">
        <v>3291.28</v>
      </c>
      <c r="AX131" s="274">
        <v>3389.1190000000001</v>
      </c>
      <c r="AY131" s="274">
        <v>3482.6350000000002</v>
      </c>
      <c r="AZ131" s="274">
        <v>3570.08</v>
      </c>
      <c r="BA131" s="274">
        <v>3653.1509999999998</v>
      </c>
      <c r="BB131" s="274">
        <v>3735.5309999999999</v>
      </c>
      <c r="BC131" s="274">
        <v>3822.6190000000001</v>
      </c>
      <c r="BD131" s="274">
        <v>3918.183</v>
      </c>
      <c r="BE131" s="274">
        <v>4023.2370000000001</v>
      </c>
      <c r="BF131" s="274">
        <v>4136.1019999999999</v>
      </c>
      <c r="BG131" s="274">
        <v>4254.5529999999999</v>
      </c>
      <c r="BH131" s="274">
        <v>4375.2299999999996</v>
      </c>
      <c r="BI131" s="274">
        <v>4495.5309999999999</v>
      </c>
      <c r="BJ131" s="274">
        <v>4614.6369999999997</v>
      </c>
      <c r="BK131" s="274">
        <v>4732.7849999999999</v>
      </c>
      <c r="BL131" s="274">
        <v>4849.6409999999996</v>
      </c>
      <c r="BM131" s="274">
        <v>4965.1049999999996</v>
      </c>
      <c r="BN131" s="274">
        <v>5078.9610000000002</v>
      </c>
      <c r="BO131" s="274">
        <v>5190.6660000000002</v>
      </c>
      <c r="BP131" s="274">
        <v>5299.5240000000003</v>
      </c>
      <c r="BQ131" s="274">
        <v>5405.009</v>
      </c>
      <c r="BR131" s="274">
        <v>5506.5860000000002</v>
      </c>
      <c r="BS131" s="274">
        <v>5603.74</v>
      </c>
    </row>
    <row r="132" spans="1:71" x14ac:dyDescent="0.4">
      <c r="A132" s="270">
        <v>113</v>
      </c>
      <c r="B132" s="271" t="s">
        <v>890</v>
      </c>
      <c r="C132" s="276" t="s">
        <v>790</v>
      </c>
      <c r="D132" s="273"/>
      <c r="E132" s="273">
        <v>764</v>
      </c>
      <c r="F132" s="274">
        <v>20710.356</v>
      </c>
      <c r="G132" s="274">
        <v>21263.203000000001</v>
      </c>
      <c r="H132" s="274">
        <v>21837.991000000002</v>
      </c>
      <c r="I132" s="274">
        <v>22436.536</v>
      </c>
      <c r="J132" s="274">
        <v>23060.429</v>
      </c>
      <c r="K132" s="274">
        <v>23711.041000000001</v>
      </c>
      <c r="L132" s="274">
        <v>24389.52</v>
      </c>
      <c r="M132" s="274">
        <v>25096.792000000001</v>
      </c>
      <c r="N132" s="274">
        <v>25833.554</v>
      </c>
      <c r="O132" s="274">
        <v>26600.276999999998</v>
      </c>
      <c r="P132" s="274">
        <v>27397.178</v>
      </c>
      <c r="Q132" s="274">
        <v>28224.207999999999</v>
      </c>
      <c r="R132" s="274">
        <v>29081.037</v>
      </c>
      <c r="S132" s="274">
        <v>29967.043000000001</v>
      </c>
      <c r="T132" s="274">
        <v>30881.331999999999</v>
      </c>
      <c r="U132" s="274">
        <v>31822.797999999999</v>
      </c>
      <c r="V132" s="274">
        <v>32789.097000000002</v>
      </c>
      <c r="W132" s="274">
        <v>33778.5</v>
      </c>
      <c r="X132" s="274">
        <v>34790.945</v>
      </c>
      <c r="Y132" s="274">
        <v>35826.803</v>
      </c>
      <c r="Z132" s="274">
        <v>36884.913999999997</v>
      </c>
      <c r="AA132" s="274">
        <v>37964.925000000003</v>
      </c>
      <c r="AB132" s="274">
        <v>39061.999000000003</v>
      </c>
      <c r="AC132" s="274">
        <v>40164.968999999997</v>
      </c>
      <c r="AD132" s="274">
        <v>41259.538999999997</v>
      </c>
      <c r="AE132" s="274">
        <v>42334.953999999998</v>
      </c>
      <c r="AF132" s="274">
        <v>43386.845999999998</v>
      </c>
      <c r="AG132" s="274">
        <v>44416.006999999998</v>
      </c>
      <c r="AH132" s="274">
        <v>45423.442000000003</v>
      </c>
      <c r="AI132" s="274">
        <v>46412.31</v>
      </c>
      <c r="AJ132" s="274">
        <v>47385.324999999997</v>
      </c>
      <c r="AK132" s="274">
        <v>48336.894</v>
      </c>
      <c r="AL132" s="274">
        <v>49265.597000000002</v>
      </c>
      <c r="AM132" s="274">
        <v>50183.106</v>
      </c>
      <c r="AN132" s="274">
        <v>51105.438000000002</v>
      </c>
      <c r="AO132" s="274">
        <v>52041.468000000001</v>
      </c>
      <c r="AP132" s="274">
        <v>53002.775000000001</v>
      </c>
      <c r="AQ132" s="274">
        <v>53979.502999999997</v>
      </c>
      <c r="AR132" s="274">
        <v>54933.561000000002</v>
      </c>
      <c r="AS132" s="274">
        <v>55812.794000000002</v>
      </c>
      <c r="AT132" s="274">
        <v>56582.824000000001</v>
      </c>
      <c r="AU132" s="274">
        <v>57225.972000000002</v>
      </c>
      <c r="AV132" s="274">
        <v>57761.574000000001</v>
      </c>
      <c r="AW132" s="274">
        <v>58237.671999999999</v>
      </c>
      <c r="AX132" s="274">
        <v>58722.767</v>
      </c>
      <c r="AY132" s="274">
        <v>59266.089</v>
      </c>
      <c r="AZ132" s="274">
        <v>59878.955000000002</v>
      </c>
      <c r="BA132" s="274">
        <v>60544.936999999998</v>
      </c>
      <c r="BB132" s="274">
        <v>61250.974000000002</v>
      </c>
      <c r="BC132" s="274">
        <v>61973.957000000002</v>
      </c>
      <c r="BD132" s="274">
        <v>62693.322</v>
      </c>
      <c r="BE132" s="274">
        <v>63415.173999999999</v>
      </c>
      <c r="BF132" s="274">
        <v>64136.669000000002</v>
      </c>
      <c r="BG132" s="274">
        <v>64817.254000000001</v>
      </c>
      <c r="BH132" s="274">
        <v>65404.521999999997</v>
      </c>
      <c r="BI132" s="274">
        <v>65863.972999999998</v>
      </c>
      <c r="BJ132" s="274">
        <v>66174.486000000004</v>
      </c>
      <c r="BK132" s="274">
        <v>66353.572</v>
      </c>
      <c r="BL132" s="274">
        <v>66453.255000000005</v>
      </c>
      <c r="BM132" s="274">
        <v>66548.197</v>
      </c>
      <c r="BN132" s="274">
        <v>66692.024000000005</v>
      </c>
      <c r="BO132" s="274">
        <v>66902.957999999999</v>
      </c>
      <c r="BP132" s="274">
        <v>67164.13</v>
      </c>
      <c r="BQ132" s="274">
        <v>67451.422000000006</v>
      </c>
      <c r="BR132" s="274">
        <v>67725.979000000007</v>
      </c>
      <c r="BS132" s="274">
        <v>67959.358999999997</v>
      </c>
    </row>
    <row r="133" spans="1:71" x14ac:dyDescent="0.4">
      <c r="A133" s="270">
        <v>114</v>
      </c>
      <c r="B133" s="271" t="s">
        <v>890</v>
      </c>
      <c r="C133" s="276" t="s">
        <v>797</v>
      </c>
      <c r="D133" s="273"/>
      <c r="E133" s="273">
        <v>626</v>
      </c>
      <c r="F133" s="274">
        <v>433.39800000000002</v>
      </c>
      <c r="G133" s="274">
        <v>438.19200000000001</v>
      </c>
      <c r="H133" s="274">
        <v>443.346</v>
      </c>
      <c r="I133" s="274">
        <v>448.89400000000001</v>
      </c>
      <c r="J133" s="274">
        <v>454.86</v>
      </c>
      <c r="K133" s="274">
        <v>461.25700000000001</v>
      </c>
      <c r="L133" s="274">
        <v>468.089</v>
      </c>
      <c r="M133" s="274">
        <v>475.35</v>
      </c>
      <c r="N133" s="274">
        <v>483.024</v>
      </c>
      <c r="O133" s="274">
        <v>491.09</v>
      </c>
      <c r="P133" s="274">
        <v>499.52499999999998</v>
      </c>
      <c r="Q133" s="274">
        <v>508.31099999999998</v>
      </c>
      <c r="R133" s="274">
        <v>517.44600000000003</v>
      </c>
      <c r="S133" s="274">
        <v>526.93600000000004</v>
      </c>
      <c r="T133" s="274">
        <v>536.798</v>
      </c>
      <c r="U133" s="274">
        <v>547.03499999999997</v>
      </c>
      <c r="V133" s="274">
        <v>557.25199999999995</v>
      </c>
      <c r="W133" s="274">
        <v>567.33000000000004</v>
      </c>
      <c r="X133" s="274">
        <v>577.82399999999996</v>
      </c>
      <c r="Y133" s="274">
        <v>589.51900000000001</v>
      </c>
      <c r="Z133" s="274">
        <v>602.73699999999997</v>
      </c>
      <c r="AA133" s="274">
        <v>618.50800000000004</v>
      </c>
      <c r="AB133" s="274">
        <v>636.1</v>
      </c>
      <c r="AC133" s="274">
        <v>652.01700000000005</v>
      </c>
      <c r="AD133" s="274">
        <v>661.52800000000002</v>
      </c>
      <c r="AE133" s="274">
        <v>661.63400000000001</v>
      </c>
      <c r="AF133" s="274">
        <v>650.49</v>
      </c>
      <c r="AG133" s="274">
        <v>630.15099999999995</v>
      </c>
      <c r="AH133" s="274">
        <v>606.29499999999996</v>
      </c>
      <c r="AI133" s="274">
        <v>586.88599999999997</v>
      </c>
      <c r="AJ133" s="274">
        <v>577.58000000000004</v>
      </c>
      <c r="AK133" s="274">
        <v>580.55600000000004</v>
      </c>
      <c r="AL133" s="274">
        <v>593.93700000000001</v>
      </c>
      <c r="AM133" s="274">
        <v>614.37900000000002</v>
      </c>
      <c r="AN133" s="274">
        <v>636.66999999999996</v>
      </c>
      <c r="AO133" s="274">
        <v>657.01800000000003</v>
      </c>
      <c r="AP133" s="274">
        <v>674.12800000000004</v>
      </c>
      <c r="AQ133" s="274">
        <v>689.17</v>
      </c>
      <c r="AR133" s="274">
        <v>703.69600000000003</v>
      </c>
      <c r="AS133" s="274">
        <v>720.19799999999998</v>
      </c>
      <c r="AT133" s="274">
        <v>740.23099999999999</v>
      </c>
      <c r="AU133" s="274">
        <v>764.88400000000001</v>
      </c>
      <c r="AV133" s="274">
        <v>792.846</v>
      </c>
      <c r="AW133" s="274">
        <v>820.471</v>
      </c>
      <c r="AX133" s="274">
        <v>842.75199999999995</v>
      </c>
      <c r="AY133" s="274">
        <v>856.43899999999996</v>
      </c>
      <c r="AZ133" s="274">
        <v>859.49599999999998</v>
      </c>
      <c r="BA133" s="274">
        <v>853.86699999999996</v>
      </c>
      <c r="BB133" s="274">
        <v>845.10599999999999</v>
      </c>
      <c r="BC133" s="274">
        <v>841.06299999999999</v>
      </c>
      <c r="BD133" s="274">
        <v>847.18499999999995</v>
      </c>
      <c r="BE133" s="274">
        <v>865.84799999999996</v>
      </c>
      <c r="BF133" s="274">
        <v>894.83699999999999</v>
      </c>
      <c r="BG133" s="274">
        <v>929.43100000000004</v>
      </c>
      <c r="BH133" s="274">
        <v>962.63400000000001</v>
      </c>
      <c r="BI133" s="274">
        <v>989.49699999999996</v>
      </c>
      <c r="BJ133" s="274">
        <v>1008.389</v>
      </c>
      <c r="BK133" s="274">
        <v>1021.235</v>
      </c>
      <c r="BL133" s="274">
        <v>1030.915</v>
      </c>
      <c r="BM133" s="274">
        <v>1041.827</v>
      </c>
      <c r="BN133" s="274">
        <v>1057.1220000000001</v>
      </c>
      <c r="BO133" s="274">
        <v>1077.6020000000001</v>
      </c>
      <c r="BP133" s="274">
        <v>1102.076</v>
      </c>
      <c r="BQ133" s="274">
        <v>1129.3150000000001</v>
      </c>
      <c r="BR133" s="274">
        <v>1157.3599999999999</v>
      </c>
      <c r="BS133" s="274">
        <v>1184.7650000000001</v>
      </c>
    </row>
    <row r="134" spans="1:71" x14ac:dyDescent="0.4">
      <c r="A134" s="270">
        <v>115</v>
      </c>
      <c r="B134" s="271" t="s">
        <v>890</v>
      </c>
      <c r="C134" s="276" t="s">
        <v>861</v>
      </c>
      <c r="D134" s="273"/>
      <c r="E134" s="273">
        <v>704</v>
      </c>
      <c r="F134" s="274">
        <v>24809.902999999998</v>
      </c>
      <c r="G134" s="274">
        <v>25364.453000000001</v>
      </c>
      <c r="H134" s="274">
        <v>25976.838</v>
      </c>
      <c r="I134" s="274">
        <v>26646.171999999999</v>
      </c>
      <c r="J134" s="274">
        <v>27370.699000000001</v>
      </c>
      <c r="K134" s="274">
        <v>28147.785</v>
      </c>
      <c r="L134" s="274">
        <v>28973.873</v>
      </c>
      <c r="M134" s="274">
        <v>29844.532999999999</v>
      </c>
      <c r="N134" s="274">
        <v>30754.602999999999</v>
      </c>
      <c r="O134" s="274">
        <v>31698.436000000002</v>
      </c>
      <c r="P134" s="274">
        <v>32670.623</v>
      </c>
      <c r="Q134" s="274">
        <v>33666.767999999996</v>
      </c>
      <c r="R134" s="274">
        <v>34684.163999999997</v>
      </c>
      <c r="S134" s="274">
        <v>35722.091999999997</v>
      </c>
      <c r="T134" s="274">
        <v>36780.983999999997</v>
      </c>
      <c r="U134" s="274">
        <v>37860.014000000003</v>
      </c>
      <c r="V134" s="274">
        <v>38959.334999999999</v>
      </c>
      <c r="W134" s="274">
        <v>40074.695</v>
      </c>
      <c r="X134" s="274">
        <v>41195.832999999999</v>
      </c>
      <c r="Y134" s="274">
        <v>42309.661999999997</v>
      </c>
      <c r="Z134" s="274">
        <v>43407.290999999997</v>
      </c>
      <c r="AA134" s="274">
        <v>44485.91</v>
      </c>
      <c r="AB134" s="274">
        <v>45549.487000000001</v>
      </c>
      <c r="AC134" s="274">
        <v>46604.726000000002</v>
      </c>
      <c r="AD134" s="274">
        <v>47661.77</v>
      </c>
      <c r="AE134" s="274">
        <v>48729.396999999997</v>
      </c>
      <c r="AF134" s="274">
        <v>49808.071000000004</v>
      </c>
      <c r="AG134" s="274">
        <v>50899.504000000001</v>
      </c>
      <c r="AH134" s="274">
        <v>52015.279000000002</v>
      </c>
      <c r="AI134" s="274">
        <v>53169.673999999999</v>
      </c>
      <c r="AJ134" s="274">
        <v>54372.517999999996</v>
      </c>
      <c r="AK134" s="274">
        <v>55627.743000000002</v>
      </c>
      <c r="AL134" s="274">
        <v>56931.822</v>
      </c>
      <c r="AM134" s="274">
        <v>58277.391000000003</v>
      </c>
      <c r="AN134" s="274">
        <v>59653.091999999997</v>
      </c>
      <c r="AO134" s="274">
        <v>61049.37</v>
      </c>
      <c r="AP134" s="274">
        <v>62459.557000000001</v>
      </c>
      <c r="AQ134" s="274">
        <v>63881.296000000002</v>
      </c>
      <c r="AR134" s="274">
        <v>65313.709000000003</v>
      </c>
      <c r="AS134" s="274">
        <v>66757.400999999998</v>
      </c>
      <c r="AT134" s="274">
        <v>68209.604000000007</v>
      </c>
      <c r="AU134" s="274">
        <v>69670.62</v>
      </c>
      <c r="AV134" s="274">
        <v>71129.536999999997</v>
      </c>
      <c r="AW134" s="274">
        <v>72558.986000000004</v>
      </c>
      <c r="AX134" s="274">
        <v>73923.849000000002</v>
      </c>
      <c r="AY134" s="274">
        <v>75198.975000000006</v>
      </c>
      <c r="AZ134" s="274">
        <v>76375.676999999996</v>
      </c>
      <c r="BA134" s="274">
        <v>77460.429000000004</v>
      </c>
      <c r="BB134" s="274">
        <v>78462.888000000006</v>
      </c>
      <c r="BC134" s="274">
        <v>79399.707999999999</v>
      </c>
      <c r="BD134" s="274">
        <v>80285.562999999995</v>
      </c>
      <c r="BE134" s="274">
        <v>81123.684999999998</v>
      </c>
      <c r="BF134" s="274">
        <v>81917.487999999998</v>
      </c>
      <c r="BG134" s="274">
        <v>82683.039000000004</v>
      </c>
      <c r="BH134" s="274">
        <v>83439.812000000005</v>
      </c>
      <c r="BI134" s="274">
        <v>84203.816999999995</v>
      </c>
      <c r="BJ134" s="274">
        <v>84979.667000000001</v>
      </c>
      <c r="BK134" s="274">
        <v>85770.717000000004</v>
      </c>
      <c r="BL134" s="274">
        <v>86589.342000000004</v>
      </c>
      <c r="BM134" s="274">
        <v>87449.020999999993</v>
      </c>
      <c r="BN134" s="274">
        <v>88357.774999999994</v>
      </c>
      <c r="BO134" s="274">
        <v>89321.903000000006</v>
      </c>
      <c r="BP134" s="274">
        <v>90335.547000000006</v>
      </c>
      <c r="BQ134" s="274">
        <v>91378.751999999993</v>
      </c>
      <c r="BR134" s="274">
        <v>92423.338000000003</v>
      </c>
      <c r="BS134" s="274">
        <v>93447.600999999995</v>
      </c>
    </row>
    <row r="135" spans="1:71" x14ac:dyDescent="0.4">
      <c r="A135" s="270">
        <v>116</v>
      </c>
      <c r="B135" s="271" t="s">
        <v>890</v>
      </c>
      <c r="C135" s="277" t="s">
        <v>930</v>
      </c>
      <c r="D135" s="273"/>
      <c r="E135" s="273">
        <v>922</v>
      </c>
      <c r="F135" s="274">
        <v>50957.440000000002</v>
      </c>
      <c r="G135" s="274">
        <v>52291.925000000003</v>
      </c>
      <c r="H135" s="274">
        <v>53682.436000000002</v>
      </c>
      <c r="I135" s="274">
        <v>55116.932000000001</v>
      </c>
      <c r="J135" s="274">
        <v>56587.103000000003</v>
      </c>
      <c r="K135" s="274">
        <v>58088.400999999998</v>
      </c>
      <c r="L135" s="274">
        <v>59620.203000000001</v>
      </c>
      <c r="M135" s="274">
        <v>61185.633999999998</v>
      </c>
      <c r="N135" s="274">
        <v>62791.017</v>
      </c>
      <c r="O135" s="274">
        <v>64444.97</v>
      </c>
      <c r="P135" s="274">
        <v>66155.619000000006</v>
      </c>
      <c r="Q135" s="274">
        <v>67927.706999999995</v>
      </c>
      <c r="R135" s="274">
        <v>69759.993000000002</v>
      </c>
      <c r="S135" s="274">
        <v>71644.172999999995</v>
      </c>
      <c r="T135" s="274">
        <v>73567.982999999993</v>
      </c>
      <c r="U135" s="274">
        <v>75524.384000000005</v>
      </c>
      <c r="V135" s="274">
        <v>77510.282000000007</v>
      </c>
      <c r="W135" s="274">
        <v>79534.085999999996</v>
      </c>
      <c r="X135" s="274">
        <v>81614.281000000003</v>
      </c>
      <c r="Y135" s="274">
        <v>83775.928</v>
      </c>
      <c r="Z135" s="274">
        <v>86037.494000000006</v>
      </c>
      <c r="AA135" s="274">
        <v>88407.481</v>
      </c>
      <c r="AB135" s="274">
        <v>90882.756999999998</v>
      </c>
      <c r="AC135" s="274">
        <v>93455.930999999997</v>
      </c>
      <c r="AD135" s="274">
        <v>96114.263999999996</v>
      </c>
      <c r="AE135" s="274">
        <v>98849.138000000006</v>
      </c>
      <c r="AF135" s="274">
        <v>101652.371</v>
      </c>
      <c r="AG135" s="274">
        <v>104528.22199999999</v>
      </c>
      <c r="AH135" s="274">
        <v>107494.40399999999</v>
      </c>
      <c r="AI135" s="274">
        <v>110575.674</v>
      </c>
      <c r="AJ135" s="274">
        <v>113785.77499999999</v>
      </c>
      <c r="AK135" s="274">
        <v>117133.807</v>
      </c>
      <c r="AL135" s="274">
        <v>120602.52099999999</v>
      </c>
      <c r="AM135" s="274">
        <v>124147.122</v>
      </c>
      <c r="AN135" s="274">
        <v>127706.675</v>
      </c>
      <c r="AO135" s="274">
        <v>131237.23300000001</v>
      </c>
      <c r="AP135" s="274">
        <v>134719.247</v>
      </c>
      <c r="AQ135" s="274">
        <v>138163.48699999999</v>
      </c>
      <c r="AR135" s="274">
        <v>141593.546</v>
      </c>
      <c r="AS135" s="274">
        <v>145047.39799999999</v>
      </c>
      <c r="AT135" s="274">
        <v>148551.929</v>
      </c>
      <c r="AU135" s="274">
        <v>152118.67300000001</v>
      </c>
      <c r="AV135" s="274">
        <v>155736.679</v>
      </c>
      <c r="AW135" s="274">
        <v>159384.45800000001</v>
      </c>
      <c r="AX135" s="274">
        <v>163030.52299999999</v>
      </c>
      <c r="AY135" s="274">
        <v>166655.663</v>
      </c>
      <c r="AZ135" s="274">
        <v>170262.39600000001</v>
      </c>
      <c r="BA135" s="274">
        <v>173871.079</v>
      </c>
      <c r="BB135" s="274">
        <v>177503.52600000001</v>
      </c>
      <c r="BC135" s="274">
        <v>181189.32800000001</v>
      </c>
      <c r="BD135" s="274">
        <v>184956.82500000001</v>
      </c>
      <c r="BE135" s="274">
        <v>188792.16800000001</v>
      </c>
      <c r="BF135" s="274">
        <v>192706.99299999999</v>
      </c>
      <c r="BG135" s="274">
        <v>196783.60699999999</v>
      </c>
      <c r="BH135" s="274">
        <v>201128.364</v>
      </c>
      <c r="BI135" s="274">
        <v>205806.35500000001</v>
      </c>
      <c r="BJ135" s="274">
        <v>210853.68900000001</v>
      </c>
      <c r="BK135" s="274">
        <v>216217.924</v>
      </c>
      <c r="BL135" s="274">
        <v>221764.67499999999</v>
      </c>
      <c r="BM135" s="274">
        <v>227306.42499999999</v>
      </c>
      <c r="BN135" s="274">
        <v>232702.72</v>
      </c>
      <c r="BO135" s="274">
        <v>237909.74100000001</v>
      </c>
      <c r="BP135" s="274">
        <v>242950</v>
      </c>
      <c r="BQ135" s="274">
        <v>247831.20800000001</v>
      </c>
      <c r="BR135" s="274">
        <v>252583.18100000001</v>
      </c>
      <c r="BS135" s="274">
        <v>257231.02</v>
      </c>
    </row>
    <row r="136" spans="1:71" x14ac:dyDescent="0.4">
      <c r="A136" s="270">
        <v>117</v>
      </c>
      <c r="B136" s="271" t="s">
        <v>890</v>
      </c>
      <c r="C136" s="276" t="s">
        <v>211</v>
      </c>
      <c r="D136" s="273"/>
      <c r="E136" s="273">
        <v>51</v>
      </c>
      <c r="F136" s="274">
        <v>1353.5060000000001</v>
      </c>
      <c r="G136" s="274">
        <v>1382.982</v>
      </c>
      <c r="H136" s="274">
        <v>1419.913</v>
      </c>
      <c r="I136" s="274">
        <v>1463.0170000000001</v>
      </c>
      <c r="J136" s="274">
        <v>1511.1880000000001</v>
      </c>
      <c r="K136" s="274">
        <v>1563.508</v>
      </c>
      <c r="L136" s="274">
        <v>1619.242</v>
      </c>
      <c r="M136" s="274">
        <v>1677.837</v>
      </c>
      <c r="N136" s="274">
        <v>1738.902</v>
      </c>
      <c r="O136" s="274">
        <v>1802.171</v>
      </c>
      <c r="P136" s="274">
        <v>1867.396</v>
      </c>
      <c r="Q136" s="274">
        <v>1934.239</v>
      </c>
      <c r="R136" s="274">
        <v>2002.17</v>
      </c>
      <c r="S136" s="274">
        <v>2070.4270000000001</v>
      </c>
      <c r="T136" s="274">
        <v>2138.1329999999998</v>
      </c>
      <c r="U136" s="274">
        <v>2204.65</v>
      </c>
      <c r="V136" s="274">
        <v>2269.4749999999999</v>
      </c>
      <c r="W136" s="274">
        <v>2332.6239999999998</v>
      </c>
      <c r="X136" s="274">
        <v>2394.6350000000002</v>
      </c>
      <c r="Y136" s="274">
        <v>2456.37</v>
      </c>
      <c r="Z136" s="274">
        <v>2518.4079999999999</v>
      </c>
      <c r="AA136" s="274">
        <v>2580.8939999999998</v>
      </c>
      <c r="AB136" s="274">
        <v>2643.4639999999999</v>
      </c>
      <c r="AC136" s="274">
        <v>2705.5839999999998</v>
      </c>
      <c r="AD136" s="274">
        <v>2766.4949999999999</v>
      </c>
      <c r="AE136" s="274">
        <v>2825.65</v>
      </c>
      <c r="AF136" s="274">
        <v>2882.8310000000001</v>
      </c>
      <c r="AG136" s="274">
        <v>2938.181</v>
      </c>
      <c r="AH136" s="274">
        <v>2991.9540000000002</v>
      </c>
      <c r="AI136" s="274">
        <v>3044.5639999999999</v>
      </c>
      <c r="AJ136" s="274">
        <v>3096.2979999999998</v>
      </c>
      <c r="AK136" s="274">
        <v>3145.8850000000002</v>
      </c>
      <c r="AL136" s="274">
        <v>3192.877</v>
      </c>
      <c r="AM136" s="274">
        <v>3239.212</v>
      </c>
      <c r="AN136" s="274">
        <v>3287.5880000000002</v>
      </c>
      <c r="AO136" s="274">
        <v>3339.1469999999999</v>
      </c>
      <c r="AP136" s="274">
        <v>3396.511</v>
      </c>
      <c r="AQ136" s="274">
        <v>3457.0540000000001</v>
      </c>
      <c r="AR136" s="274">
        <v>3510.4389999999999</v>
      </c>
      <c r="AS136" s="274">
        <v>3542.72</v>
      </c>
      <c r="AT136" s="274">
        <v>3544.6950000000002</v>
      </c>
      <c r="AU136" s="274">
        <v>3511.9119999999998</v>
      </c>
      <c r="AV136" s="274">
        <v>3449.4969999999998</v>
      </c>
      <c r="AW136" s="274">
        <v>3369.6729999999998</v>
      </c>
      <c r="AX136" s="274">
        <v>3289.9430000000002</v>
      </c>
      <c r="AY136" s="274">
        <v>3223.1729999999998</v>
      </c>
      <c r="AZ136" s="274">
        <v>3173.4250000000002</v>
      </c>
      <c r="BA136" s="274">
        <v>3137.652</v>
      </c>
      <c r="BB136" s="274">
        <v>3112.9580000000001</v>
      </c>
      <c r="BC136" s="274">
        <v>3093.82</v>
      </c>
      <c r="BD136" s="274">
        <v>3076.098</v>
      </c>
      <c r="BE136" s="274">
        <v>3060.0360000000001</v>
      </c>
      <c r="BF136" s="274">
        <v>3047.2489999999998</v>
      </c>
      <c r="BG136" s="274">
        <v>3036.42</v>
      </c>
      <c r="BH136" s="274">
        <v>3025.982</v>
      </c>
      <c r="BI136" s="274">
        <v>3014.9169999999999</v>
      </c>
      <c r="BJ136" s="274">
        <v>3002.1610000000001</v>
      </c>
      <c r="BK136" s="274">
        <v>2988.1170000000002</v>
      </c>
      <c r="BL136" s="274">
        <v>2975.029</v>
      </c>
      <c r="BM136" s="274">
        <v>2966.1080000000002</v>
      </c>
      <c r="BN136" s="274">
        <v>2963.4960000000001</v>
      </c>
      <c r="BO136" s="274">
        <v>2967.9839999999999</v>
      </c>
      <c r="BP136" s="274">
        <v>2978.3389999999999</v>
      </c>
      <c r="BQ136" s="274">
        <v>2992.192</v>
      </c>
      <c r="BR136" s="274">
        <v>3006.154</v>
      </c>
      <c r="BS136" s="274">
        <v>3017.712</v>
      </c>
    </row>
    <row r="137" spans="1:71" x14ac:dyDescent="0.4">
      <c r="A137" s="270">
        <v>118</v>
      </c>
      <c r="B137" s="271" t="s">
        <v>890</v>
      </c>
      <c r="C137" s="276" t="s">
        <v>221</v>
      </c>
      <c r="D137" s="273">
        <v>9</v>
      </c>
      <c r="E137" s="273">
        <v>31</v>
      </c>
      <c r="F137" s="274">
        <v>2895.9969999999998</v>
      </c>
      <c r="G137" s="274">
        <v>2965.3380000000002</v>
      </c>
      <c r="H137" s="274">
        <v>3045.4290000000001</v>
      </c>
      <c r="I137" s="274">
        <v>3133.703</v>
      </c>
      <c r="J137" s="274">
        <v>3228.2330000000002</v>
      </c>
      <c r="K137" s="274">
        <v>3327.7330000000002</v>
      </c>
      <c r="L137" s="274">
        <v>3431.5970000000002</v>
      </c>
      <c r="M137" s="274">
        <v>3539.8580000000002</v>
      </c>
      <c r="N137" s="274">
        <v>3653.0830000000001</v>
      </c>
      <c r="O137" s="274">
        <v>3772.1869999999999</v>
      </c>
      <c r="P137" s="274">
        <v>3897.8890000000001</v>
      </c>
      <c r="Q137" s="274">
        <v>4030.13</v>
      </c>
      <c r="R137" s="274">
        <v>4167.558</v>
      </c>
      <c r="S137" s="274">
        <v>4307.3149999999996</v>
      </c>
      <c r="T137" s="274">
        <v>4445.6530000000002</v>
      </c>
      <c r="U137" s="274">
        <v>4579.759</v>
      </c>
      <c r="V137" s="274">
        <v>4708.4849999999997</v>
      </c>
      <c r="W137" s="274">
        <v>4832.098</v>
      </c>
      <c r="X137" s="274">
        <v>4950.9769999999999</v>
      </c>
      <c r="Y137" s="274">
        <v>5066.08</v>
      </c>
      <c r="Z137" s="274">
        <v>5178.16</v>
      </c>
      <c r="AA137" s="274">
        <v>5287.2719999999999</v>
      </c>
      <c r="AB137" s="274">
        <v>5393.1760000000004</v>
      </c>
      <c r="AC137" s="274">
        <v>5496.0609999999997</v>
      </c>
      <c r="AD137" s="274">
        <v>5596.16</v>
      </c>
      <c r="AE137" s="274">
        <v>5693.7960000000003</v>
      </c>
      <c r="AF137" s="274">
        <v>5789.05</v>
      </c>
      <c r="AG137" s="274">
        <v>5882.3950000000004</v>
      </c>
      <c r="AH137" s="274">
        <v>5975.0450000000001</v>
      </c>
      <c r="AI137" s="274">
        <v>6068.5309999999999</v>
      </c>
      <c r="AJ137" s="274">
        <v>6163.99</v>
      </c>
      <c r="AK137" s="274">
        <v>6261.942</v>
      </c>
      <c r="AL137" s="274">
        <v>6362.2889999999998</v>
      </c>
      <c r="AM137" s="274">
        <v>6464.7749999999996</v>
      </c>
      <c r="AN137" s="274">
        <v>6568.857</v>
      </c>
      <c r="AO137" s="274">
        <v>6674.107</v>
      </c>
      <c r="AP137" s="274">
        <v>6779.97</v>
      </c>
      <c r="AQ137" s="274">
        <v>6886.4279999999999</v>
      </c>
      <c r="AR137" s="274">
        <v>6994.1390000000001</v>
      </c>
      <c r="AS137" s="274">
        <v>7104.058</v>
      </c>
      <c r="AT137" s="274">
        <v>7216.5029999999997</v>
      </c>
      <c r="AU137" s="274">
        <v>7332.5190000000002</v>
      </c>
      <c r="AV137" s="274">
        <v>7450.92</v>
      </c>
      <c r="AW137" s="274">
        <v>7567.1559999999999</v>
      </c>
      <c r="AX137" s="274">
        <v>7675.1279999999997</v>
      </c>
      <c r="AY137" s="274">
        <v>7770.8059999999996</v>
      </c>
      <c r="AZ137" s="274">
        <v>7852.2870000000003</v>
      </c>
      <c r="BA137" s="274">
        <v>7921.7889999999998</v>
      </c>
      <c r="BB137" s="274">
        <v>7984.5309999999999</v>
      </c>
      <c r="BC137" s="274">
        <v>8047.9970000000003</v>
      </c>
      <c r="BD137" s="274">
        <v>8117.7420000000002</v>
      </c>
      <c r="BE137" s="274">
        <v>8195.6479999999992</v>
      </c>
      <c r="BF137" s="274">
        <v>8280.5990000000002</v>
      </c>
      <c r="BG137" s="274">
        <v>8371.5360000000001</v>
      </c>
      <c r="BH137" s="274">
        <v>8466.3040000000001</v>
      </c>
      <c r="BI137" s="274">
        <v>8563.3979999999992</v>
      </c>
      <c r="BJ137" s="274">
        <v>8662.1370000000006</v>
      </c>
      <c r="BK137" s="274">
        <v>8763.3590000000004</v>
      </c>
      <c r="BL137" s="274">
        <v>8868.7129999999997</v>
      </c>
      <c r="BM137" s="274">
        <v>8980.4879999999994</v>
      </c>
      <c r="BN137" s="274">
        <v>9099.893</v>
      </c>
      <c r="BO137" s="274">
        <v>9227.5120000000006</v>
      </c>
      <c r="BP137" s="274">
        <v>9361.4770000000008</v>
      </c>
      <c r="BQ137" s="274">
        <v>9497.4959999999992</v>
      </c>
      <c r="BR137" s="274">
        <v>9629.7790000000005</v>
      </c>
      <c r="BS137" s="274">
        <v>9753.9680000000008</v>
      </c>
    </row>
    <row r="138" spans="1:71" x14ac:dyDescent="0.4">
      <c r="A138" s="270">
        <v>119</v>
      </c>
      <c r="B138" s="271" t="s">
        <v>890</v>
      </c>
      <c r="C138" s="276" t="s">
        <v>229</v>
      </c>
      <c r="D138" s="273"/>
      <c r="E138" s="273">
        <v>48</v>
      </c>
      <c r="F138" s="274">
        <v>115.614</v>
      </c>
      <c r="G138" s="274">
        <v>116.919</v>
      </c>
      <c r="H138" s="274">
        <v>119.68899999999999</v>
      </c>
      <c r="I138" s="274">
        <v>123.593</v>
      </c>
      <c r="J138" s="274">
        <v>128.333</v>
      </c>
      <c r="K138" s="274">
        <v>133.65299999999999</v>
      </c>
      <c r="L138" s="274">
        <v>139.33199999999999</v>
      </c>
      <c r="M138" s="274">
        <v>145.185</v>
      </c>
      <c r="N138" s="274">
        <v>151.06700000000001</v>
      </c>
      <c r="O138" s="274">
        <v>156.86500000000001</v>
      </c>
      <c r="P138" s="274">
        <v>162.501</v>
      </c>
      <c r="Q138" s="274">
        <v>167.92400000000001</v>
      </c>
      <c r="R138" s="274">
        <v>173.107</v>
      </c>
      <c r="S138" s="274">
        <v>178.048</v>
      </c>
      <c r="T138" s="274">
        <v>182.774</v>
      </c>
      <c r="U138" s="274">
        <v>187.34800000000001</v>
      </c>
      <c r="V138" s="274">
        <v>191.78200000000001</v>
      </c>
      <c r="W138" s="274">
        <v>196.203</v>
      </c>
      <c r="X138" s="274">
        <v>200.953</v>
      </c>
      <c r="Y138" s="274">
        <v>206.46899999999999</v>
      </c>
      <c r="Z138" s="274">
        <v>213.102</v>
      </c>
      <c r="AA138" s="274">
        <v>220.80799999999999</v>
      </c>
      <c r="AB138" s="274">
        <v>229.58799999999999</v>
      </c>
      <c r="AC138" s="274">
        <v>239.86</v>
      </c>
      <c r="AD138" s="274">
        <v>252.13900000000001</v>
      </c>
      <c r="AE138" s="274">
        <v>266.68599999999998</v>
      </c>
      <c r="AF138" s="274">
        <v>283.84300000000002</v>
      </c>
      <c r="AG138" s="274">
        <v>303.23599999999999</v>
      </c>
      <c r="AH138" s="274">
        <v>323.51100000000002</v>
      </c>
      <c r="AI138" s="274">
        <v>342.82900000000001</v>
      </c>
      <c r="AJ138" s="274">
        <v>359.90199999999999</v>
      </c>
      <c r="AK138" s="274">
        <v>374.125</v>
      </c>
      <c r="AL138" s="274">
        <v>385.95</v>
      </c>
      <c r="AM138" s="274">
        <v>396.447</v>
      </c>
      <c r="AN138" s="274">
        <v>407.22300000000001</v>
      </c>
      <c r="AO138" s="274">
        <v>419.42500000000001</v>
      </c>
      <c r="AP138" s="274">
        <v>433.48700000000002</v>
      </c>
      <c r="AQ138" s="274">
        <v>448.99400000000003</v>
      </c>
      <c r="AR138" s="274">
        <v>465.23500000000001</v>
      </c>
      <c r="AS138" s="274">
        <v>481.12599999999998</v>
      </c>
      <c r="AT138" s="274">
        <v>495.94400000000002</v>
      </c>
      <c r="AU138" s="274">
        <v>509.654</v>
      </c>
      <c r="AV138" s="274">
        <v>522.74800000000005</v>
      </c>
      <c r="AW138" s="274">
        <v>535.69200000000001</v>
      </c>
      <c r="AX138" s="274">
        <v>549.15099999999995</v>
      </c>
      <c r="AY138" s="274">
        <v>563.73</v>
      </c>
      <c r="AZ138" s="274">
        <v>579.85500000000002</v>
      </c>
      <c r="BA138" s="274">
        <v>597.83399999999995</v>
      </c>
      <c r="BB138" s="274">
        <v>618.05399999999997</v>
      </c>
      <c r="BC138" s="274">
        <v>640.904</v>
      </c>
      <c r="BD138" s="274">
        <v>666.85500000000002</v>
      </c>
      <c r="BE138" s="274">
        <v>694.89300000000003</v>
      </c>
      <c r="BF138" s="274">
        <v>725.36500000000001</v>
      </c>
      <c r="BG138" s="274">
        <v>761.59500000000003</v>
      </c>
      <c r="BH138" s="274">
        <v>807.98900000000003</v>
      </c>
      <c r="BI138" s="274">
        <v>867.01400000000001</v>
      </c>
      <c r="BJ138" s="274">
        <v>940.80799999999999</v>
      </c>
      <c r="BK138" s="274">
        <v>1026.568</v>
      </c>
      <c r="BL138" s="274">
        <v>1115.777</v>
      </c>
      <c r="BM138" s="274">
        <v>1196.7739999999999</v>
      </c>
      <c r="BN138" s="274">
        <v>1261.319</v>
      </c>
      <c r="BO138" s="274">
        <v>1306.0139999999999</v>
      </c>
      <c r="BP138" s="274">
        <v>1333.577</v>
      </c>
      <c r="BQ138" s="274">
        <v>1349.4269999999999</v>
      </c>
      <c r="BR138" s="274">
        <v>1361.93</v>
      </c>
      <c r="BS138" s="274">
        <v>1377.2370000000001</v>
      </c>
    </row>
    <row r="139" spans="1:71" x14ac:dyDescent="0.4">
      <c r="A139" s="270">
        <v>120</v>
      </c>
      <c r="B139" s="271" t="s">
        <v>890</v>
      </c>
      <c r="C139" s="276" t="s">
        <v>344</v>
      </c>
      <c r="D139" s="273">
        <v>10</v>
      </c>
      <c r="E139" s="273">
        <v>196</v>
      </c>
      <c r="F139" s="274">
        <v>494.01400000000001</v>
      </c>
      <c r="G139" s="274">
        <v>500.37799999999999</v>
      </c>
      <c r="H139" s="274">
        <v>506.62700000000001</v>
      </c>
      <c r="I139" s="274">
        <v>513.43499999999995</v>
      </c>
      <c r="J139" s="274">
        <v>521.18700000000001</v>
      </c>
      <c r="K139" s="274">
        <v>529.971</v>
      </c>
      <c r="L139" s="274">
        <v>539.56600000000003</v>
      </c>
      <c r="M139" s="274">
        <v>549.45899999999995</v>
      </c>
      <c r="N139" s="274">
        <v>558.89499999999998</v>
      </c>
      <c r="O139" s="274">
        <v>566.97699999999998</v>
      </c>
      <c r="P139" s="274">
        <v>572.92899999999997</v>
      </c>
      <c r="Q139" s="274">
        <v>576.39499999999998</v>
      </c>
      <c r="R139" s="274">
        <v>577.69100000000003</v>
      </c>
      <c r="S139" s="274">
        <v>577.91200000000003</v>
      </c>
      <c r="T139" s="274">
        <v>578.62900000000002</v>
      </c>
      <c r="U139" s="274">
        <v>580.971</v>
      </c>
      <c r="V139" s="274">
        <v>585.31100000000004</v>
      </c>
      <c r="W139" s="274">
        <v>591.30399999999997</v>
      </c>
      <c r="X139" s="274">
        <v>598.49099999999999</v>
      </c>
      <c r="Y139" s="274">
        <v>606.11699999999996</v>
      </c>
      <c r="Z139" s="274">
        <v>613.61900000000003</v>
      </c>
      <c r="AA139" s="274">
        <v>620.86</v>
      </c>
      <c r="AB139" s="274">
        <v>628</v>
      </c>
      <c r="AC139" s="274">
        <v>635.10900000000004</v>
      </c>
      <c r="AD139" s="274">
        <v>642.33500000000004</v>
      </c>
      <c r="AE139" s="274">
        <v>649.755</v>
      </c>
      <c r="AF139" s="274">
        <v>657.52599999999995</v>
      </c>
      <c r="AG139" s="274">
        <v>665.52800000000002</v>
      </c>
      <c r="AH139" s="274">
        <v>673.25199999999995</v>
      </c>
      <c r="AI139" s="274">
        <v>680.01300000000003</v>
      </c>
      <c r="AJ139" s="274">
        <v>685.40599999999995</v>
      </c>
      <c r="AK139" s="274">
        <v>689.173</v>
      </c>
      <c r="AL139" s="274">
        <v>691.71100000000001</v>
      </c>
      <c r="AM139" s="274">
        <v>694.07399999999996</v>
      </c>
      <c r="AN139" s="274">
        <v>697.71699999999998</v>
      </c>
      <c r="AO139" s="274">
        <v>703.69299999999998</v>
      </c>
      <c r="AP139" s="274">
        <v>712.34</v>
      </c>
      <c r="AQ139" s="274">
        <v>723.38</v>
      </c>
      <c r="AR139" s="274">
        <v>736.47699999999998</v>
      </c>
      <c r="AS139" s="274">
        <v>751.04700000000003</v>
      </c>
      <c r="AT139" s="274">
        <v>766.61099999999999</v>
      </c>
      <c r="AU139" s="274">
        <v>783.13800000000003</v>
      </c>
      <c r="AV139" s="274">
        <v>800.66</v>
      </c>
      <c r="AW139" s="274">
        <v>818.81399999999996</v>
      </c>
      <c r="AX139" s="274">
        <v>837.16600000000005</v>
      </c>
      <c r="AY139" s="274">
        <v>855.38900000000001</v>
      </c>
      <c r="AZ139" s="274">
        <v>873.24599999999998</v>
      </c>
      <c r="BA139" s="274">
        <v>890.73299999999995</v>
      </c>
      <c r="BB139" s="274">
        <v>908.04</v>
      </c>
      <c r="BC139" s="274">
        <v>925.49099999999999</v>
      </c>
      <c r="BD139" s="274">
        <v>943.28700000000003</v>
      </c>
      <c r="BE139" s="274">
        <v>961.48199999999997</v>
      </c>
      <c r="BF139" s="274">
        <v>979.88300000000004</v>
      </c>
      <c r="BG139" s="274">
        <v>998.15</v>
      </c>
      <c r="BH139" s="274">
        <v>1015.827</v>
      </c>
      <c r="BI139" s="274">
        <v>1032.586</v>
      </c>
      <c r="BJ139" s="274">
        <v>1048.2929999999999</v>
      </c>
      <c r="BK139" s="274">
        <v>1063.04</v>
      </c>
      <c r="BL139" s="274">
        <v>1077.01</v>
      </c>
      <c r="BM139" s="274">
        <v>1090.4860000000001</v>
      </c>
      <c r="BN139" s="274">
        <v>1103.6849999999999</v>
      </c>
      <c r="BO139" s="274">
        <v>1116.644</v>
      </c>
      <c r="BP139" s="274">
        <v>1129.3030000000001</v>
      </c>
      <c r="BQ139" s="274">
        <v>1141.652</v>
      </c>
      <c r="BR139" s="274">
        <v>1153.6579999999999</v>
      </c>
      <c r="BS139" s="274">
        <v>1165.3</v>
      </c>
    </row>
    <row r="140" spans="1:71" x14ac:dyDescent="0.4">
      <c r="A140" s="270">
        <v>121</v>
      </c>
      <c r="B140" s="271" t="s">
        <v>890</v>
      </c>
      <c r="C140" s="276" t="s">
        <v>414</v>
      </c>
      <c r="D140" s="273">
        <v>11</v>
      </c>
      <c r="E140" s="273">
        <v>268</v>
      </c>
      <c r="F140" s="274">
        <v>3527.0039999999999</v>
      </c>
      <c r="G140" s="274">
        <v>3584.6979999999999</v>
      </c>
      <c r="H140" s="274">
        <v>3646.3209999999999</v>
      </c>
      <c r="I140" s="274">
        <v>3710.1320000000001</v>
      </c>
      <c r="J140" s="274">
        <v>3774.81</v>
      </c>
      <c r="K140" s="274">
        <v>3839.4639999999999</v>
      </c>
      <c r="L140" s="274">
        <v>3903.6469999999999</v>
      </c>
      <c r="M140" s="274">
        <v>3967.337</v>
      </c>
      <c r="N140" s="274">
        <v>4030.8739999999998</v>
      </c>
      <c r="O140" s="274">
        <v>4094.846</v>
      </c>
      <c r="P140" s="274">
        <v>4159.7690000000002</v>
      </c>
      <c r="Q140" s="274">
        <v>4225.7330000000002</v>
      </c>
      <c r="R140" s="274">
        <v>4292.1009999999997</v>
      </c>
      <c r="S140" s="274">
        <v>4357.3789999999999</v>
      </c>
      <c r="T140" s="274">
        <v>4419.5829999999996</v>
      </c>
      <c r="U140" s="274">
        <v>4477.3280000000004</v>
      </c>
      <c r="V140" s="274">
        <v>4529.9610000000002</v>
      </c>
      <c r="W140" s="274">
        <v>4577.9530000000004</v>
      </c>
      <c r="X140" s="274">
        <v>4622.4409999999998</v>
      </c>
      <c r="Y140" s="274">
        <v>4665.1459999999997</v>
      </c>
      <c r="Z140" s="274">
        <v>4707.3270000000002</v>
      </c>
      <c r="AA140" s="274">
        <v>4749.5439999999999</v>
      </c>
      <c r="AB140" s="274">
        <v>4791.4799999999996</v>
      </c>
      <c r="AC140" s="274">
        <v>4832.51</v>
      </c>
      <c r="AD140" s="274">
        <v>4871.634</v>
      </c>
      <c r="AE140" s="274">
        <v>4908.2650000000003</v>
      </c>
      <c r="AF140" s="274">
        <v>4942.018</v>
      </c>
      <c r="AG140" s="274">
        <v>4973.5420000000004</v>
      </c>
      <c r="AH140" s="274">
        <v>5004.5209999999997</v>
      </c>
      <c r="AI140" s="274">
        <v>5037.2370000000001</v>
      </c>
      <c r="AJ140" s="274">
        <v>5073.241</v>
      </c>
      <c r="AK140" s="274">
        <v>5111.7920000000004</v>
      </c>
      <c r="AL140" s="274">
        <v>5151.8500000000004</v>
      </c>
      <c r="AM140" s="274">
        <v>5194.0910000000003</v>
      </c>
      <c r="AN140" s="274">
        <v>5239.3519999999999</v>
      </c>
      <c r="AO140" s="274">
        <v>5287.3280000000004</v>
      </c>
      <c r="AP140" s="274">
        <v>5340.0609999999997</v>
      </c>
      <c r="AQ140" s="274">
        <v>5394.9979999999996</v>
      </c>
      <c r="AR140" s="274">
        <v>5441.7719999999999</v>
      </c>
      <c r="AS140" s="274">
        <v>5466.61</v>
      </c>
      <c r="AT140" s="274">
        <v>5460.3090000000002</v>
      </c>
      <c r="AU140" s="274">
        <v>5418.4489999999996</v>
      </c>
      <c r="AV140" s="274">
        <v>5345.6239999999998</v>
      </c>
      <c r="AW140" s="274">
        <v>5252.85</v>
      </c>
      <c r="AX140" s="274">
        <v>5156.0789999999997</v>
      </c>
      <c r="AY140" s="274">
        <v>5067.143</v>
      </c>
      <c r="AZ140" s="274">
        <v>4989.723</v>
      </c>
      <c r="BA140" s="274">
        <v>4921.2870000000003</v>
      </c>
      <c r="BB140" s="274">
        <v>4859.9539999999997</v>
      </c>
      <c r="BC140" s="274">
        <v>4801.6949999999997</v>
      </c>
      <c r="BD140" s="274">
        <v>4743.5910000000003</v>
      </c>
      <c r="BE140" s="274">
        <v>4685.7690000000002</v>
      </c>
      <c r="BF140" s="274">
        <v>4629.8530000000001</v>
      </c>
      <c r="BG140" s="274">
        <v>4575.9930000000004</v>
      </c>
      <c r="BH140" s="274">
        <v>4524.4440000000004</v>
      </c>
      <c r="BI140" s="274">
        <v>4475.2730000000001</v>
      </c>
      <c r="BJ140" s="274">
        <v>4429.1859999999997</v>
      </c>
      <c r="BK140" s="274">
        <v>4385.8850000000002</v>
      </c>
      <c r="BL140" s="274">
        <v>4343.29</v>
      </c>
      <c r="BM140" s="274">
        <v>4298.5910000000003</v>
      </c>
      <c r="BN140" s="274">
        <v>4250.1319999999996</v>
      </c>
      <c r="BO140" s="274">
        <v>4196.4009999999998</v>
      </c>
      <c r="BP140" s="274">
        <v>4138.92</v>
      </c>
      <c r="BQ140" s="274">
        <v>4082.7269999999999</v>
      </c>
      <c r="BR140" s="274">
        <v>4034.7739999999999</v>
      </c>
      <c r="BS140" s="274">
        <v>3999.8119999999999</v>
      </c>
    </row>
    <row r="141" spans="1:71" x14ac:dyDescent="0.4">
      <c r="A141" s="270">
        <v>122</v>
      </c>
      <c r="B141" s="271" t="s">
        <v>890</v>
      </c>
      <c r="C141" s="276" t="s">
        <v>470</v>
      </c>
      <c r="D141" s="273"/>
      <c r="E141" s="273">
        <v>368</v>
      </c>
      <c r="F141" s="274">
        <v>5719.1909999999998</v>
      </c>
      <c r="G141" s="274">
        <v>5901.5069999999996</v>
      </c>
      <c r="H141" s="274">
        <v>6065.0119999999997</v>
      </c>
      <c r="I141" s="274">
        <v>6216.13</v>
      </c>
      <c r="J141" s="274">
        <v>6360.4350000000004</v>
      </c>
      <c r="K141" s="274">
        <v>6502.6549999999997</v>
      </c>
      <c r="L141" s="274">
        <v>6646.6409999999996</v>
      </c>
      <c r="M141" s="274">
        <v>6795.3990000000003</v>
      </c>
      <c r="N141" s="274">
        <v>6951.16</v>
      </c>
      <c r="O141" s="274">
        <v>7115.509</v>
      </c>
      <c r="P141" s="274">
        <v>7289.759</v>
      </c>
      <c r="Q141" s="274">
        <v>7475.3540000000003</v>
      </c>
      <c r="R141" s="274">
        <v>7674.22</v>
      </c>
      <c r="S141" s="274">
        <v>7888.9139999999998</v>
      </c>
      <c r="T141" s="274">
        <v>8122.2</v>
      </c>
      <c r="U141" s="274">
        <v>8375.7909999999993</v>
      </c>
      <c r="V141" s="274">
        <v>8651.1669999999995</v>
      </c>
      <c r="W141" s="274">
        <v>8947.3989999999994</v>
      </c>
      <c r="X141" s="274">
        <v>9260.6849999999995</v>
      </c>
      <c r="Y141" s="274">
        <v>9585.5759999999991</v>
      </c>
      <c r="Z141" s="274">
        <v>9917.982</v>
      </c>
      <c r="AA141" s="274">
        <v>10255.904</v>
      </c>
      <c r="AB141" s="274">
        <v>10599.846</v>
      </c>
      <c r="AC141" s="274">
        <v>10951.169</v>
      </c>
      <c r="AD141" s="274">
        <v>11312.304</v>
      </c>
      <c r="AE141" s="274">
        <v>11684.584999999999</v>
      </c>
      <c r="AF141" s="274">
        <v>12068.195</v>
      </c>
      <c r="AG141" s="274">
        <v>12460.996999999999</v>
      </c>
      <c r="AH141" s="274">
        <v>12859.226000000001</v>
      </c>
      <c r="AI141" s="274">
        <v>13257.91</v>
      </c>
      <c r="AJ141" s="274">
        <v>13653.358</v>
      </c>
      <c r="AK141" s="274">
        <v>14046.272999999999</v>
      </c>
      <c r="AL141" s="274">
        <v>14437.661</v>
      </c>
      <c r="AM141" s="274">
        <v>14824.876</v>
      </c>
      <c r="AN141" s="274">
        <v>15204.745999999999</v>
      </c>
      <c r="AO141" s="274">
        <v>15576.396000000001</v>
      </c>
      <c r="AP141" s="274">
        <v>15937.864</v>
      </c>
      <c r="AQ141" s="274">
        <v>16293.718999999999</v>
      </c>
      <c r="AR141" s="274">
        <v>16657.707999999999</v>
      </c>
      <c r="AS141" s="274">
        <v>17048.167000000001</v>
      </c>
      <c r="AT141" s="274">
        <v>17478.455000000002</v>
      </c>
      <c r="AU141" s="274">
        <v>17952.909</v>
      </c>
      <c r="AV141" s="274">
        <v>18468.521000000001</v>
      </c>
      <c r="AW141" s="274">
        <v>19021.967000000001</v>
      </c>
      <c r="AX141" s="274">
        <v>19606.895</v>
      </c>
      <c r="AY141" s="274">
        <v>20217.758999999998</v>
      </c>
      <c r="AZ141" s="274">
        <v>20855.407999999999</v>
      </c>
      <c r="BA141" s="274">
        <v>21519.356</v>
      </c>
      <c r="BB141" s="274">
        <v>22200.834999999999</v>
      </c>
      <c r="BC141" s="274">
        <v>22888.6</v>
      </c>
      <c r="BD141" s="274">
        <v>23574.751</v>
      </c>
      <c r="BE141" s="274">
        <v>24258.794000000002</v>
      </c>
      <c r="BF141" s="274">
        <v>24943.793000000001</v>
      </c>
      <c r="BG141" s="274">
        <v>25630.425999999999</v>
      </c>
      <c r="BH141" s="274">
        <v>26320.53</v>
      </c>
      <c r="BI141" s="274">
        <v>27017.712</v>
      </c>
      <c r="BJ141" s="274">
        <v>27716.983</v>
      </c>
      <c r="BK141" s="274">
        <v>28423.538</v>
      </c>
      <c r="BL141" s="274">
        <v>29163.327000000001</v>
      </c>
      <c r="BM141" s="274">
        <v>29970.633999999998</v>
      </c>
      <c r="BN141" s="274">
        <v>30868.155999999999</v>
      </c>
      <c r="BO141" s="274">
        <v>31867.758000000002</v>
      </c>
      <c r="BP141" s="274">
        <v>32957.622000000003</v>
      </c>
      <c r="BQ141" s="274">
        <v>34107.366000000002</v>
      </c>
      <c r="BR141" s="274">
        <v>35273.292999999998</v>
      </c>
      <c r="BS141" s="274">
        <v>36423.394999999997</v>
      </c>
    </row>
    <row r="142" spans="1:71" x14ac:dyDescent="0.4">
      <c r="A142" s="270">
        <v>123</v>
      </c>
      <c r="B142" s="271" t="s">
        <v>890</v>
      </c>
      <c r="C142" s="276" t="s">
        <v>476</v>
      </c>
      <c r="D142" s="273"/>
      <c r="E142" s="273">
        <v>376</v>
      </c>
      <c r="F142" s="274">
        <v>1257.971</v>
      </c>
      <c r="G142" s="274">
        <v>1354.097</v>
      </c>
      <c r="H142" s="274">
        <v>1451.4929999999999</v>
      </c>
      <c r="I142" s="274">
        <v>1546.239</v>
      </c>
      <c r="J142" s="274">
        <v>1635.7860000000001</v>
      </c>
      <c r="K142" s="274">
        <v>1718.9549999999999</v>
      </c>
      <c r="L142" s="274">
        <v>1796.009</v>
      </c>
      <c r="M142" s="274">
        <v>1868.5809999999999</v>
      </c>
      <c r="N142" s="274">
        <v>1939.4490000000001</v>
      </c>
      <c r="O142" s="274">
        <v>2012.1579999999999</v>
      </c>
      <c r="P142" s="274">
        <v>2089.8910000000001</v>
      </c>
      <c r="Q142" s="274">
        <v>2174.2710000000002</v>
      </c>
      <c r="R142" s="274">
        <v>2264.3040000000001</v>
      </c>
      <c r="S142" s="274">
        <v>2355.9290000000001</v>
      </c>
      <c r="T142" s="274">
        <v>2443.297</v>
      </c>
      <c r="U142" s="274">
        <v>2522.5300000000002</v>
      </c>
      <c r="V142" s="274">
        <v>2591.5940000000001</v>
      </c>
      <c r="W142" s="274">
        <v>2652.6970000000001</v>
      </c>
      <c r="X142" s="274">
        <v>2711.3029999999999</v>
      </c>
      <c r="Y142" s="274">
        <v>2775.1619999999998</v>
      </c>
      <c r="Z142" s="274">
        <v>2849.623</v>
      </c>
      <c r="AA142" s="274">
        <v>2936.6680000000001</v>
      </c>
      <c r="AB142" s="274">
        <v>3033.9189999999999</v>
      </c>
      <c r="AC142" s="274">
        <v>3137.029</v>
      </c>
      <c r="AD142" s="274">
        <v>3239.5610000000001</v>
      </c>
      <c r="AE142" s="274">
        <v>3336.76</v>
      </c>
      <c r="AF142" s="274">
        <v>3427.6619999999998</v>
      </c>
      <c r="AG142" s="274">
        <v>3513.5160000000001</v>
      </c>
      <c r="AH142" s="274">
        <v>3594.47</v>
      </c>
      <c r="AI142" s="274">
        <v>3671.2640000000001</v>
      </c>
      <c r="AJ142" s="274">
        <v>3744.6669999999999</v>
      </c>
      <c r="AK142" s="274">
        <v>3815.27</v>
      </c>
      <c r="AL142" s="274">
        <v>3883.547</v>
      </c>
      <c r="AM142" s="274">
        <v>3950.241</v>
      </c>
      <c r="AN142" s="274">
        <v>4016.2289999999998</v>
      </c>
      <c r="AO142" s="274">
        <v>4082.7809999999999</v>
      </c>
      <c r="AP142" s="274">
        <v>4148.7640000000001</v>
      </c>
      <c r="AQ142" s="274">
        <v>4215.7560000000003</v>
      </c>
      <c r="AR142" s="274">
        <v>4290.8599999999997</v>
      </c>
      <c r="AS142" s="274">
        <v>4383.3410000000003</v>
      </c>
      <c r="AT142" s="274">
        <v>4499.1610000000001</v>
      </c>
      <c r="AU142" s="274">
        <v>4641.6000000000004</v>
      </c>
      <c r="AV142" s="274">
        <v>4806.9830000000002</v>
      </c>
      <c r="AW142" s="274">
        <v>4985.652</v>
      </c>
      <c r="AX142" s="274">
        <v>5163.9009999999998</v>
      </c>
      <c r="AY142" s="274">
        <v>5331.6220000000003</v>
      </c>
      <c r="AZ142" s="274">
        <v>5486.2190000000001</v>
      </c>
      <c r="BA142" s="274">
        <v>5630.0659999999998</v>
      </c>
      <c r="BB142" s="274">
        <v>5764.1970000000001</v>
      </c>
      <c r="BC142" s="274">
        <v>5891.2629999999999</v>
      </c>
      <c r="BD142" s="274">
        <v>6013.7110000000002</v>
      </c>
      <c r="BE142" s="274">
        <v>6129.98</v>
      </c>
      <c r="BF142" s="274">
        <v>6240.2150000000001</v>
      </c>
      <c r="BG142" s="274">
        <v>6350.7619999999997</v>
      </c>
      <c r="BH142" s="274">
        <v>6470.0450000000001</v>
      </c>
      <c r="BI142" s="274">
        <v>6603.6769999999997</v>
      </c>
      <c r="BJ142" s="274">
        <v>6754.8360000000002</v>
      </c>
      <c r="BK142" s="274">
        <v>6920.7619999999997</v>
      </c>
      <c r="BL142" s="274">
        <v>7093.808</v>
      </c>
      <c r="BM142" s="274">
        <v>7262.9639999999999</v>
      </c>
      <c r="BN142" s="274">
        <v>7420.3680000000004</v>
      </c>
      <c r="BO142" s="274">
        <v>7563.3339999999998</v>
      </c>
      <c r="BP142" s="274">
        <v>7694.5069999999996</v>
      </c>
      <c r="BQ142" s="274">
        <v>7817.8180000000002</v>
      </c>
      <c r="BR142" s="274">
        <v>7939.4830000000002</v>
      </c>
      <c r="BS142" s="274">
        <v>8064.0360000000001</v>
      </c>
    </row>
    <row r="143" spans="1:71" x14ac:dyDescent="0.4">
      <c r="A143" s="270">
        <v>124</v>
      </c>
      <c r="B143" s="271" t="s">
        <v>890</v>
      </c>
      <c r="C143" s="276" t="s">
        <v>490</v>
      </c>
      <c r="D143" s="273"/>
      <c r="E143" s="273">
        <v>400</v>
      </c>
      <c r="F143" s="274">
        <v>448.86099999999999</v>
      </c>
      <c r="G143" s="274">
        <v>503.11599999999999</v>
      </c>
      <c r="H143" s="274">
        <v>542.12300000000005</v>
      </c>
      <c r="I143" s="274">
        <v>574.88699999999994</v>
      </c>
      <c r="J143" s="274">
        <v>608.01700000000005</v>
      </c>
      <c r="K143" s="274">
        <v>645.72400000000005</v>
      </c>
      <c r="L143" s="274">
        <v>689.70500000000004</v>
      </c>
      <c r="M143" s="274">
        <v>739.26300000000003</v>
      </c>
      <c r="N143" s="274">
        <v>791.65800000000002</v>
      </c>
      <c r="O143" s="274">
        <v>842.721</v>
      </c>
      <c r="P143" s="274">
        <v>888.63199999999995</v>
      </c>
      <c r="Q143" s="274">
        <v>927.85</v>
      </c>
      <c r="R143" s="274">
        <v>962.78300000000002</v>
      </c>
      <c r="S143" s="274">
        <v>1000.506</v>
      </c>
      <c r="T143" s="274">
        <v>1050.7249999999999</v>
      </c>
      <c r="U143" s="274">
        <v>1119.798</v>
      </c>
      <c r="V143" s="274">
        <v>1210.9480000000001</v>
      </c>
      <c r="W143" s="274">
        <v>1320.414</v>
      </c>
      <c r="X143" s="274">
        <v>1438.9860000000001</v>
      </c>
      <c r="Y143" s="274">
        <v>1553.585</v>
      </c>
      <c r="Z143" s="274">
        <v>1654.769</v>
      </c>
      <c r="AA143" s="274">
        <v>1739.903</v>
      </c>
      <c r="AB143" s="274">
        <v>1811.87</v>
      </c>
      <c r="AC143" s="274">
        <v>1873.548</v>
      </c>
      <c r="AD143" s="274">
        <v>1929.9390000000001</v>
      </c>
      <c r="AE143" s="274">
        <v>1985.1210000000001</v>
      </c>
      <c r="AF143" s="274">
        <v>2039.114</v>
      </c>
      <c r="AG143" s="274">
        <v>2091.7159999999999</v>
      </c>
      <c r="AH143" s="274">
        <v>2146.6619999999998</v>
      </c>
      <c r="AI143" s="274">
        <v>2208.5619999999999</v>
      </c>
      <c r="AJ143" s="274">
        <v>2280.67</v>
      </c>
      <c r="AK143" s="274">
        <v>2365.665</v>
      </c>
      <c r="AL143" s="274">
        <v>2462.9679999999998</v>
      </c>
      <c r="AM143" s="274">
        <v>2568.5819999999999</v>
      </c>
      <c r="AN143" s="274">
        <v>2676.5149999999999</v>
      </c>
      <c r="AO143" s="274">
        <v>2782.8850000000002</v>
      </c>
      <c r="AP143" s="274">
        <v>2884.0650000000001</v>
      </c>
      <c r="AQ143" s="274">
        <v>2982.3490000000002</v>
      </c>
      <c r="AR143" s="274">
        <v>3086.6640000000002</v>
      </c>
      <c r="AS143" s="274">
        <v>3209.4659999999999</v>
      </c>
      <c r="AT143" s="274">
        <v>3358.453</v>
      </c>
      <c r="AU143" s="274">
        <v>3538.663</v>
      </c>
      <c r="AV143" s="274">
        <v>3743.944</v>
      </c>
      <c r="AW143" s="274">
        <v>3957.221</v>
      </c>
      <c r="AX143" s="274">
        <v>4154.8130000000001</v>
      </c>
      <c r="AY143" s="274">
        <v>4320.1580000000004</v>
      </c>
      <c r="AZ143" s="274">
        <v>4448.1130000000003</v>
      </c>
      <c r="BA143" s="274">
        <v>4545.2479999999996</v>
      </c>
      <c r="BB143" s="274">
        <v>4621.3289999999997</v>
      </c>
      <c r="BC143" s="274">
        <v>4691.402</v>
      </c>
      <c r="BD143" s="274">
        <v>4767.4759999999997</v>
      </c>
      <c r="BE143" s="274">
        <v>4850.2269999999999</v>
      </c>
      <c r="BF143" s="274">
        <v>4938.9350000000004</v>
      </c>
      <c r="BG143" s="274">
        <v>5042.5379999999996</v>
      </c>
      <c r="BH143" s="274">
        <v>5171.6329999999998</v>
      </c>
      <c r="BI143" s="274">
        <v>5332.982</v>
      </c>
      <c r="BJ143" s="274">
        <v>5530.2179999999998</v>
      </c>
      <c r="BK143" s="274">
        <v>5759.424</v>
      </c>
      <c r="BL143" s="274">
        <v>6010.0349999999999</v>
      </c>
      <c r="BM143" s="274">
        <v>6266.8649999999998</v>
      </c>
      <c r="BN143" s="274">
        <v>6517.9120000000003</v>
      </c>
      <c r="BO143" s="274">
        <v>6760.3710000000001</v>
      </c>
      <c r="BP143" s="274">
        <v>6994.451</v>
      </c>
      <c r="BQ143" s="274">
        <v>7214.8320000000003</v>
      </c>
      <c r="BR143" s="274">
        <v>7416.0829999999996</v>
      </c>
      <c r="BS143" s="274">
        <v>7594.5469999999996</v>
      </c>
    </row>
    <row r="144" spans="1:71" x14ac:dyDescent="0.4">
      <c r="A144" s="270">
        <v>125</v>
      </c>
      <c r="B144" s="271" t="s">
        <v>890</v>
      </c>
      <c r="C144" s="276" t="s">
        <v>504</v>
      </c>
      <c r="D144" s="273"/>
      <c r="E144" s="273">
        <v>414</v>
      </c>
      <c r="F144" s="274">
        <v>152.25</v>
      </c>
      <c r="G144" s="274">
        <v>163.63200000000001</v>
      </c>
      <c r="H144" s="274">
        <v>173.62200000000001</v>
      </c>
      <c r="I144" s="274">
        <v>181.95699999999999</v>
      </c>
      <c r="J144" s="274">
        <v>188.81100000000001</v>
      </c>
      <c r="K144" s="274">
        <v>194.79499999999999</v>
      </c>
      <c r="L144" s="274">
        <v>200.988</v>
      </c>
      <c r="M144" s="274">
        <v>208.90700000000001</v>
      </c>
      <c r="N144" s="274">
        <v>220.405</v>
      </c>
      <c r="O144" s="274">
        <v>237.51599999999999</v>
      </c>
      <c r="P144" s="274">
        <v>261.96199999999999</v>
      </c>
      <c r="Q144" s="274">
        <v>294.63900000000001</v>
      </c>
      <c r="R144" s="274">
        <v>335.161</v>
      </c>
      <c r="S144" s="274">
        <v>381.66500000000002</v>
      </c>
      <c r="T144" s="274">
        <v>431.36599999999999</v>
      </c>
      <c r="U144" s="274">
        <v>482.173</v>
      </c>
      <c r="V144" s="274">
        <v>533.52099999999996</v>
      </c>
      <c r="W144" s="274">
        <v>585.83100000000002</v>
      </c>
      <c r="X144" s="274">
        <v>639.16999999999996</v>
      </c>
      <c r="Y144" s="274">
        <v>693.87599999999998</v>
      </c>
      <c r="Z144" s="274">
        <v>750.18399999999997</v>
      </c>
      <c r="AA144" s="274">
        <v>807.9</v>
      </c>
      <c r="AB144" s="274">
        <v>866.74699999999996</v>
      </c>
      <c r="AC144" s="274">
        <v>926.81700000000001</v>
      </c>
      <c r="AD144" s="274">
        <v>988.26700000000005</v>
      </c>
      <c r="AE144" s="274">
        <v>1051.1869999999999</v>
      </c>
      <c r="AF144" s="274">
        <v>1115.463</v>
      </c>
      <c r="AG144" s="274">
        <v>1180.9390000000001</v>
      </c>
      <c r="AH144" s="274">
        <v>1247.597</v>
      </c>
      <c r="AI144" s="274">
        <v>1315.4280000000001</v>
      </c>
      <c r="AJ144" s="274">
        <v>1384.3420000000001</v>
      </c>
      <c r="AK144" s="274">
        <v>1452.383</v>
      </c>
      <c r="AL144" s="274">
        <v>1518.855</v>
      </c>
      <c r="AM144" s="274">
        <v>1586.2049999999999</v>
      </c>
      <c r="AN144" s="274">
        <v>1657.92</v>
      </c>
      <c r="AO144" s="274">
        <v>1735.32</v>
      </c>
      <c r="AP144" s="274">
        <v>1823.201</v>
      </c>
      <c r="AQ144" s="274">
        <v>1917.95</v>
      </c>
      <c r="AR144" s="274">
        <v>2002.645</v>
      </c>
      <c r="AS144" s="274">
        <v>2054.4430000000002</v>
      </c>
      <c r="AT144" s="274">
        <v>2058.8319999999999</v>
      </c>
      <c r="AU144" s="274">
        <v>2007.11</v>
      </c>
      <c r="AV144" s="274">
        <v>1909.096</v>
      </c>
      <c r="AW144" s="274">
        <v>1791.511</v>
      </c>
      <c r="AX144" s="274">
        <v>1691.8910000000001</v>
      </c>
      <c r="AY144" s="274">
        <v>1637.0309999999999</v>
      </c>
      <c r="AZ144" s="274">
        <v>1637.9059999999999</v>
      </c>
      <c r="BA144" s="274">
        <v>1686.2560000000001</v>
      </c>
      <c r="BB144" s="274">
        <v>1766.2470000000001</v>
      </c>
      <c r="BC144" s="274">
        <v>1853.152</v>
      </c>
      <c r="BD144" s="274">
        <v>1929.47</v>
      </c>
      <c r="BE144" s="274">
        <v>1990.0219999999999</v>
      </c>
      <c r="BF144" s="274">
        <v>2042.2149999999999</v>
      </c>
      <c r="BG144" s="274">
        <v>2095.9929999999999</v>
      </c>
      <c r="BH144" s="274">
        <v>2166.3440000000001</v>
      </c>
      <c r="BI144" s="274">
        <v>2263.6039999999998</v>
      </c>
      <c r="BJ144" s="274">
        <v>2389.498</v>
      </c>
      <c r="BK144" s="274">
        <v>2538.5909999999999</v>
      </c>
      <c r="BL144" s="274">
        <v>2705.29</v>
      </c>
      <c r="BM144" s="274">
        <v>2881.2429999999999</v>
      </c>
      <c r="BN144" s="274">
        <v>3059.473</v>
      </c>
      <c r="BO144" s="274">
        <v>3239.181</v>
      </c>
      <c r="BP144" s="274">
        <v>3419.5810000000001</v>
      </c>
      <c r="BQ144" s="274">
        <v>3593.6889999999999</v>
      </c>
      <c r="BR144" s="274">
        <v>3753.1210000000001</v>
      </c>
      <c r="BS144" s="274">
        <v>3892.1149999999998</v>
      </c>
    </row>
    <row r="145" spans="1:71" x14ac:dyDescent="0.4">
      <c r="A145" s="270">
        <v>126</v>
      </c>
      <c r="B145" s="271" t="s">
        <v>890</v>
      </c>
      <c r="C145" s="276" t="s">
        <v>520</v>
      </c>
      <c r="D145" s="273"/>
      <c r="E145" s="273">
        <v>422</v>
      </c>
      <c r="F145" s="274">
        <v>1334.6179999999999</v>
      </c>
      <c r="G145" s="274">
        <v>1358.22</v>
      </c>
      <c r="H145" s="274">
        <v>1392.7249999999999</v>
      </c>
      <c r="I145" s="274">
        <v>1434.845</v>
      </c>
      <c r="J145" s="274">
        <v>1481.96</v>
      </c>
      <c r="K145" s="274">
        <v>1532.1110000000001</v>
      </c>
      <c r="L145" s="274">
        <v>1584.0340000000001</v>
      </c>
      <c r="M145" s="274">
        <v>1637.126</v>
      </c>
      <c r="N145" s="274">
        <v>1691.366</v>
      </c>
      <c r="O145" s="274">
        <v>1747.163</v>
      </c>
      <c r="P145" s="274">
        <v>1804.9269999999999</v>
      </c>
      <c r="Q145" s="274">
        <v>1864.605</v>
      </c>
      <c r="R145" s="274">
        <v>1925.2760000000001</v>
      </c>
      <c r="S145" s="274">
        <v>1984.982</v>
      </c>
      <c r="T145" s="274">
        <v>2041.212</v>
      </c>
      <c r="U145" s="274">
        <v>2092.3539999999998</v>
      </c>
      <c r="V145" s="274">
        <v>2136.64</v>
      </c>
      <c r="W145" s="274">
        <v>2174.85</v>
      </c>
      <c r="X145" s="274">
        <v>2210.9650000000001</v>
      </c>
      <c r="Y145" s="274">
        <v>2250.6089999999999</v>
      </c>
      <c r="Z145" s="274">
        <v>2297.4029999999998</v>
      </c>
      <c r="AA145" s="274">
        <v>2353.569</v>
      </c>
      <c r="AB145" s="274">
        <v>2416.7429999999999</v>
      </c>
      <c r="AC145" s="274">
        <v>2480.4259999999999</v>
      </c>
      <c r="AD145" s="274">
        <v>2535.5030000000002</v>
      </c>
      <c r="AE145" s="274">
        <v>2575.6930000000002</v>
      </c>
      <c r="AF145" s="274">
        <v>2598.3620000000001</v>
      </c>
      <c r="AG145" s="274">
        <v>2606.2240000000002</v>
      </c>
      <c r="AH145" s="274">
        <v>2604.875</v>
      </c>
      <c r="AI145" s="274">
        <v>2602.5729999999999</v>
      </c>
      <c r="AJ145" s="274">
        <v>2605.2939999999999</v>
      </c>
      <c r="AK145" s="274">
        <v>2615.7530000000002</v>
      </c>
      <c r="AL145" s="274">
        <v>2632.2809999999999</v>
      </c>
      <c r="AM145" s="274">
        <v>2651.2950000000001</v>
      </c>
      <c r="AN145" s="274">
        <v>2667.2289999999998</v>
      </c>
      <c r="AO145" s="274">
        <v>2676.5929999999998</v>
      </c>
      <c r="AP145" s="274">
        <v>2677.29</v>
      </c>
      <c r="AQ145" s="274">
        <v>2672.1819999999998</v>
      </c>
      <c r="AR145" s="274">
        <v>2668.5929999999998</v>
      </c>
      <c r="AS145" s="274">
        <v>2676.6149999999998</v>
      </c>
      <c r="AT145" s="274">
        <v>2703.0189999999998</v>
      </c>
      <c r="AU145" s="274">
        <v>2752.473</v>
      </c>
      <c r="AV145" s="274">
        <v>2821.8679999999999</v>
      </c>
      <c r="AW145" s="274">
        <v>2900.8620000000001</v>
      </c>
      <c r="AX145" s="274">
        <v>2974.6469999999999</v>
      </c>
      <c r="AY145" s="274">
        <v>3033.4059999999999</v>
      </c>
      <c r="AZ145" s="274">
        <v>3070.9740000000002</v>
      </c>
      <c r="BA145" s="274">
        <v>3092.6840000000002</v>
      </c>
      <c r="BB145" s="274">
        <v>3113.96</v>
      </c>
      <c r="BC145" s="274">
        <v>3156.6610000000001</v>
      </c>
      <c r="BD145" s="274">
        <v>3235.38</v>
      </c>
      <c r="BE145" s="274">
        <v>3359.875</v>
      </c>
      <c r="BF145" s="274">
        <v>3522.8420000000001</v>
      </c>
      <c r="BG145" s="274">
        <v>3701.4639999999999</v>
      </c>
      <c r="BH145" s="274">
        <v>3863.2710000000002</v>
      </c>
      <c r="BI145" s="274">
        <v>3986.8649999999998</v>
      </c>
      <c r="BJ145" s="274">
        <v>4057.0410000000002</v>
      </c>
      <c r="BK145" s="274">
        <v>4085.4259999999999</v>
      </c>
      <c r="BL145" s="274">
        <v>4109.3890000000001</v>
      </c>
      <c r="BM145" s="274">
        <v>4181.7420000000002</v>
      </c>
      <c r="BN145" s="274">
        <v>4337.1559999999999</v>
      </c>
      <c r="BO145" s="274">
        <v>4591.6980000000003</v>
      </c>
      <c r="BP145" s="274">
        <v>4924.2569999999996</v>
      </c>
      <c r="BQ145" s="274">
        <v>5286.99</v>
      </c>
      <c r="BR145" s="274">
        <v>5612.0959999999995</v>
      </c>
      <c r="BS145" s="274">
        <v>5850.7430000000004</v>
      </c>
    </row>
    <row r="146" spans="1:71" x14ac:dyDescent="0.4">
      <c r="A146" s="270">
        <v>127</v>
      </c>
      <c r="B146" s="271" t="s">
        <v>890</v>
      </c>
      <c r="C146" s="276" t="s">
        <v>634</v>
      </c>
      <c r="D146" s="273"/>
      <c r="E146" s="273">
        <v>512</v>
      </c>
      <c r="F146" s="274">
        <v>456.41800000000001</v>
      </c>
      <c r="G146" s="274">
        <v>462.25700000000001</v>
      </c>
      <c r="H146" s="274">
        <v>469.35</v>
      </c>
      <c r="I146" s="274">
        <v>477.43700000000001</v>
      </c>
      <c r="J146" s="274">
        <v>486.31</v>
      </c>
      <c r="K146" s="274">
        <v>495.82400000000001</v>
      </c>
      <c r="L146" s="274">
        <v>505.88900000000001</v>
      </c>
      <c r="M146" s="274">
        <v>516.47299999999996</v>
      </c>
      <c r="N146" s="274">
        <v>527.59799999999996</v>
      </c>
      <c r="O146" s="274">
        <v>539.327</v>
      </c>
      <c r="P146" s="274">
        <v>551.73699999999997</v>
      </c>
      <c r="Q146" s="274">
        <v>564.89499999999998</v>
      </c>
      <c r="R146" s="274">
        <v>578.82500000000005</v>
      </c>
      <c r="S146" s="274">
        <v>593.50400000000002</v>
      </c>
      <c r="T146" s="274">
        <v>608.88900000000001</v>
      </c>
      <c r="U146" s="274">
        <v>625.00699999999995</v>
      </c>
      <c r="V146" s="274">
        <v>642.005</v>
      </c>
      <c r="W146" s="274">
        <v>660.11699999999996</v>
      </c>
      <c r="X146" s="274">
        <v>679.59299999999996</v>
      </c>
      <c r="Y146" s="274">
        <v>700.72900000000004</v>
      </c>
      <c r="Z146" s="274">
        <v>723.85</v>
      </c>
      <c r="AA146" s="274">
        <v>748.971</v>
      </c>
      <c r="AB146" s="274">
        <v>776.37900000000002</v>
      </c>
      <c r="AC146" s="274">
        <v>806.98900000000003</v>
      </c>
      <c r="AD146" s="274">
        <v>841.947</v>
      </c>
      <c r="AE146" s="274">
        <v>882.04399999999998</v>
      </c>
      <c r="AF146" s="274">
        <v>927.43899999999996</v>
      </c>
      <c r="AG146" s="274">
        <v>977.80600000000004</v>
      </c>
      <c r="AH146" s="274">
        <v>1032.799</v>
      </c>
      <c r="AI146" s="274">
        <v>1091.855</v>
      </c>
      <c r="AJ146" s="274">
        <v>1154.375</v>
      </c>
      <c r="AK146" s="274">
        <v>1220.548</v>
      </c>
      <c r="AL146" s="274">
        <v>1290.0070000000001</v>
      </c>
      <c r="AM146" s="274">
        <v>1360.921</v>
      </c>
      <c r="AN146" s="274">
        <v>1430.9259999999999</v>
      </c>
      <c r="AO146" s="274">
        <v>1498.4159999999999</v>
      </c>
      <c r="AP146" s="274">
        <v>1561.4929999999999</v>
      </c>
      <c r="AQ146" s="274">
        <v>1620.5730000000001</v>
      </c>
      <c r="AR146" s="274">
        <v>1679.0889999999999</v>
      </c>
      <c r="AS146" s="274">
        <v>1741.9649999999999</v>
      </c>
      <c r="AT146" s="274">
        <v>1812.1590000000001</v>
      </c>
      <c r="AU146" s="274">
        <v>1892.345</v>
      </c>
      <c r="AV146" s="274">
        <v>1979.914</v>
      </c>
      <c r="AW146" s="274">
        <v>2066.2640000000001</v>
      </c>
      <c r="AX146" s="274">
        <v>2139.5390000000002</v>
      </c>
      <c r="AY146" s="274">
        <v>2191.864</v>
      </c>
      <c r="AZ146" s="274">
        <v>2219.768</v>
      </c>
      <c r="BA146" s="274">
        <v>2227.596</v>
      </c>
      <c r="BB146" s="274">
        <v>2224.922</v>
      </c>
      <c r="BC146" s="274">
        <v>2225.4810000000002</v>
      </c>
      <c r="BD146" s="274">
        <v>2239.4029999999998</v>
      </c>
      <c r="BE146" s="274">
        <v>2272.547</v>
      </c>
      <c r="BF146" s="274">
        <v>2323.203</v>
      </c>
      <c r="BG146" s="274">
        <v>2385.0749999999998</v>
      </c>
      <c r="BH146" s="274">
        <v>2448.194</v>
      </c>
      <c r="BI146" s="274">
        <v>2506.8910000000001</v>
      </c>
      <c r="BJ146" s="274">
        <v>2553.3760000000002</v>
      </c>
      <c r="BK146" s="274">
        <v>2593.75</v>
      </c>
      <c r="BL146" s="274">
        <v>2652.2809999999999</v>
      </c>
      <c r="BM146" s="274">
        <v>2762.0729999999999</v>
      </c>
      <c r="BN146" s="274">
        <v>2943.7469999999998</v>
      </c>
      <c r="BO146" s="274">
        <v>3210.0030000000002</v>
      </c>
      <c r="BP146" s="274">
        <v>3545.192</v>
      </c>
      <c r="BQ146" s="274">
        <v>3906.9119999999998</v>
      </c>
      <c r="BR146" s="274">
        <v>4236.0569999999998</v>
      </c>
      <c r="BS146" s="274">
        <v>4490.5410000000002</v>
      </c>
    </row>
    <row r="147" spans="1:71" x14ac:dyDescent="0.4">
      <c r="A147" s="270">
        <v>128</v>
      </c>
      <c r="B147" s="271" t="s">
        <v>890</v>
      </c>
      <c r="C147" s="276" t="s">
        <v>670</v>
      </c>
      <c r="D147" s="273"/>
      <c r="E147" s="273">
        <v>634</v>
      </c>
      <c r="F147" s="274">
        <v>24.998999999999999</v>
      </c>
      <c r="G147" s="274">
        <v>27.475000000000001</v>
      </c>
      <c r="H147" s="274">
        <v>29.843</v>
      </c>
      <c r="I147" s="274">
        <v>32.029000000000003</v>
      </c>
      <c r="J147" s="274">
        <v>34.015999999999998</v>
      </c>
      <c r="K147" s="274">
        <v>35.835000000000001</v>
      </c>
      <c r="L147" s="274">
        <v>37.581000000000003</v>
      </c>
      <c r="M147" s="274">
        <v>39.402000000000001</v>
      </c>
      <c r="N147" s="274">
        <v>41.487000000000002</v>
      </c>
      <c r="O147" s="274">
        <v>44.058999999999997</v>
      </c>
      <c r="P147" s="274">
        <v>47.308999999999997</v>
      </c>
      <c r="Q147" s="274">
        <v>51.354999999999997</v>
      </c>
      <c r="R147" s="274">
        <v>56.186999999999998</v>
      </c>
      <c r="S147" s="274">
        <v>61.646999999999998</v>
      </c>
      <c r="T147" s="274">
        <v>67.486999999999995</v>
      </c>
      <c r="U147" s="274">
        <v>73.543000000000006</v>
      </c>
      <c r="V147" s="274">
        <v>79.734999999999999</v>
      </c>
      <c r="W147" s="274">
        <v>86.161000000000001</v>
      </c>
      <c r="X147" s="274">
        <v>93.043000000000006</v>
      </c>
      <c r="Y147" s="274">
        <v>100.697</v>
      </c>
      <c r="Z147" s="274">
        <v>109.32899999999999</v>
      </c>
      <c r="AA147" s="274">
        <v>119.246</v>
      </c>
      <c r="AB147" s="274">
        <v>130.37700000000001</v>
      </c>
      <c r="AC147" s="274">
        <v>142.11099999999999</v>
      </c>
      <c r="AD147" s="274">
        <v>153.59299999999999</v>
      </c>
      <c r="AE147" s="274">
        <v>164.333</v>
      </c>
      <c r="AF147" s="274">
        <v>173.75899999999999</v>
      </c>
      <c r="AG147" s="274">
        <v>182.37</v>
      </c>
      <c r="AH147" s="274">
        <v>192.018</v>
      </c>
      <c r="AI147" s="274">
        <v>205.244</v>
      </c>
      <c r="AJ147" s="274">
        <v>223.715</v>
      </c>
      <c r="AK147" s="274">
        <v>248.053</v>
      </c>
      <c r="AL147" s="274">
        <v>277.24200000000002</v>
      </c>
      <c r="AM147" s="274">
        <v>309.27600000000001</v>
      </c>
      <c r="AN147" s="274">
        <v>341.286</v>
      </c>
      <c r="AO147" s="274">
        <v>371.07100000000003</v>
      </c>
      <c r="AP147" s="274">
        <v>398.32600000000002</v>
      </c>
      <c r="AQ147" s="274">
        <v>423.327</v>
      </c>
      <c r="AR147" s="274">
        <v>445.20299999999997</v>
      </c>
      <c r="AS147" s="274">
        <v>463.06200000000001</v>
      </c>
      <c r="AT147" s="274">
        <v>476.47800000000001</v>
      </c>
      <c r="AU147" s="274">
        <v>485.11399999999998</v>
      </c>
      <c r="AV147" s="274">
        <v>489.66800000000001</v>
      </c>
      <c r="AW147" s="274">
        <v>492.12</v>
      </c>
      <c r="AX147" s="274">
        <v>495.17899999999997</v>
      </c>
      <c r="AY147" s="274">
        <v>501.01900000000001</v>
      </c>
      <c r="AZ147" s="274">
        <v>511.86399999999998</v>
      </c>
      <c r="BA147" s="274">
        <v>528.21299999999997</v>
      </c>
      <c r="BB147" s="274">
        <v>548.61800000000005</v>
      </c>
      <c r="BC147" s="274">
        <v>570.64300000000003</v>
      </c>
      <c r="BD147" s="274">
        <v>593.45299999999997</v>
      </c>
      <c r="BE147" s="274">
        <v>613.72</v>
      </c>
      <c r="BF147" s="274">
        <v>634.38800000000003</v>
      </c>
      <c r="BG147" s="274">
        <v>668.16499999999996</v>
      </c>
      <c r="BH147" s="274">
        <v>732.096</v>
      </c>
      <c r="BI147" s="274">
        <v>836.92399999999998</v>
      </c>
      <c r="BJ147" s="274">
        <v>988.44799999999998</v>
      </c>
      <c r="BK147" s="274">
        <v>1178.9549999999999</v>
      </c>
      <c r="BL147" s="274">
        <v>1388.962</v>
      </c>
      <c r="BM147" s="274">
        <v>1591.1510000000001</v>
      </c>
      <c r="BN147" s="274">
        <v>1765.5129999999999</v>
      </c>
      <c r="BO147" s="274">
        <v>1905.4369999999999</v>
      </c>
      <c r="BP147" s="274">
        <v>2015.624</v>
      </c>
      <c r="BQ147" s="274">
        <v>2101.288</v>
      </c>
      <c r="BR147" s="274">
        <v>2172.0650000000001</v>
      </c>
      <c r="BS147" s="274">
        <v>2235.355</v>
      </c>
    </row>
    <row r="148" spans="1:71" x14ac:dyDescent="0.4">
      <c r="A148" s="270">
        <v>129</v>
      </c>
      <c r="B148" s="271" t="s">
        <v>890</v>
      </c>
      <c r="C148" s="276" t="s">
        <v>709</v>
      </c>
      <c r="D148" s="273"/>
      <c r="E148" s="273">
        <v>682</v>
      </c>
      <c r="F148" s="274">
        <v>3121.3359999999998</v>
      </c>
      <c r="G148" s="274">
        <v>3198.5509999999999</v>
      </c>
      <c r="H148" s="274">
        <v>3283.299</v>
      </c>
      <c r="I148" s="274">
        <v>3372.6170000000002</v>
      </c>
      <c r="J148" s="274">
        <v>3464.5540000000001</v>
      </c>
      <c r="K148" s="274">
        <v>3558.1640000000002</v>
      </c>
      <c r="L148" s="274">
        <v>3653.5630000000001</v>
      </c>
      <c r="M148" s="274">
        <v>3751.8760000000002</v>
      </c>
      <c r="N148" s="274">
        <v>3855.0889999999999</v>
      </c>
      <c r="O148" s="274">
        <v>3965.8110000000001</v>
      </c>
      <c r="P148" s="274">
        <v>4086.5390000000002</v>
      </c>
      <c r="Q148" s="274">
        <v>4218.8789999999999</v>
      </c>
      <c r="R148" s="274">
        <v>4362.8630000000003</v>
      </c>
      <c r="S148" s="274">
        <v>4516.6629999999996</v>
      </c>
      <c r="T148" s="274">
        <v>4677.4089999999997</v>
      </c>
      <c r="U148" s="274">
        <v>4843.6350000000002</v>
      </c>
      <c r="V148" s="274">
        <v>5015.6719999999996</v>
      </c>
      <c r="W148" s="274">
        <v>5196.3490000000002</v>
      </c>
      <c r="X148" s="274">
        <v>5389.848</v>
      </c>
      <c r="Y148" s="274">
        <v>5601.6490000000003</v>
      </c>
      <c r="Z148" s="274">
        <v>5836.3940000000002</v>
      </c>
      <c r="AA148" s="274">
        <v>6096.1059999999998</v>
      </c>
      <c r="AB148" s="274">
        <v>6382.1059999999998</v>
      </c>
      <c r="AC148" s="274">
        <v>6697.4859999999999</v>
      </c>
      <c r="AD148" s="274">
        <v>7045.4769999999999</v>
      </c>
      <c r="AE148" s="274">
        <v>7428.7049999999999</v>
      </c>
      <c r="AF148" s="274">
        <v>7845.3</v>
      </c>
      <c r="AG148" s="274">
        <v>8295.384</v>
      </c>
      <c r="AH148" s="274">
        <v>8785.3259999999991</v>
      </c>
      <c r="AI148" s="274">
        <v>9323.2900000000009</v>
      </c>
      <c r="AJ148" s="274">
        <v>9912.9169999999995</v>
      </c>
      <c r="AK148" s="274">
        <v>10556.936</v>
      </c>
      <c r="AL148" s="274">
        <v>11247.084999999999</v>
      </c>
      <c r="AM148" s="274">
        <v>11962.244000000001</v>
      </c>
      <c r="AN148" s="274">
        <v>12674.089</v>
      </c>
      <c r="AO148" s="274">
        <v>13361.284</v>
      </c>
      <c r="AP148" s="274">
        <v>14016.569</v>
      </c>
      <c r="AQ148" s="274">
        <v>14642.353999999999</v>
      </c>
      <c r="AR148" s="274">
        <v>15239.174000000001</v>
      </c>
      <c r="AS148" s="274">
        <v>15810.98</v>
      </c>
      <c r="AT148" s="274">
        <v>16361.453</v>
      </c>
      <c r="AU148" s="274">
        <v>16890.555</v>
      </c>
      <c r="AV148" s="274">
        <v>17398.523000000001</v>
      </c>
      <c r="AW148" s="274">
        <v>17890.528999999999</v>
      </c>
      <c r="AX148" s="274">
        <v>18373.412</v>
      </c>
      <c r="AY148" s="274">
        <v>18853.669999999998</v>
      </c>
      <c r="AZ148" s="274">
        <v>19331.311000000002</v>
      </c>
      <c r="BA148" s="274">
        <v>19809.633000000002</v>
      </c>
      <c r="BB148" s="274">
        <v>20302.192999999999</v>
      </c>
      <c r="BC148" s="274">
        <v>20825.955000000002</v>
      </c>
      <c r="BD148" s="274">
        <v>21392.273000000001</v>
      </c>
      <c r="BE148" s="274">
        <v>22007.937000000002</v>
      </c>
      <c r="BF148" s="274">
        <v>22668.101999999999</v>
      </c>
      <c r="BG148" s="274">
        <v>23357.886999999999</v>
      </c>
      <c r="BH148" s="274">
        <v>24055.573</v>
      </c>
      <c r="BI148" s="274">
        <v>24745.23</v>
      </c>
      <c r="BJ148" s="274">
        <v>25419.993999999999</v>
      </c>
      <c r="BK148" s="274">
        <v>26083.522000000001</v>
      </c>
      <c r="BL148" s="274">
        <v>26742.842000000001</v>
      </c>
      <c r="BM148" s="274">
        <v>27409.491000000002</v>
      </c>
      <c r="BN148" s="274">
        <v>28090.647000000001</v>
      </c>
      <c r="BO148" s="274">
        <v>28788.437999999998</v>
      </c>
      <c r="BP148" s="274">
        <v>29496.046999999999</v>
      </c>
      <c r="BQ148" s="274">
        <v>30201.050999999999</v>
      </c>
      <c r="BR148" s="274">
        <v>30886.544999999998</v>
      </c>
      <c r="BS148" s="274">
        <v>31540.371999999999</v>
      </c>
    </row>
    <row r="149" spans="1:71" x14ac:dyDescent="0.4">
      <c r="A149" s="270">
        <v>130</v>
      </c>
      <c r="B149" s="271" t="s">
        <v>890</v>
      </c>
      <c r="C149" s="276" t="s">
        <v>761</v>
      </c>
      <c r="D149" s="273">
        <v>12</v>
      </c>
      <c r="E149" s="273">
        <v>275</v>
      </c>
      <c r="F149" s="274">
        <v>931.92600000000004</v>
      </c>
      <c r="G149" s="274">
        <v>923.75300000000004</v>
      </c>
      <c r="H149" s="274">
        <v>931.91899999999998</v>
      </c>
      <c r="I149" s="274">
        <v>948.79700000000003</v>
      </c>
      <c r="J149" s="274">
        <v>968.68100000000004</v>
      </c>
      <c r="K149" s="274">
        <v>987.79</v>
      </c>
      <c r="L149" s="274">
        <v>1004.36</v>
      </c>
      <c r="M149" s="274">
        <v>1018.549</v>
      </c>
      <c r="N149" s="274">
        <v>1032.1610000000001</v>
      </c>
      <c r="O149" s="274">
        <v>1048.183</v>
      </c>
      <c r="P149" s="274">
        <v>1069.3989999999999</v>
      </c>
      <c r="Q149" s="274">
        <v>1096.903</v>
      </c>
      <c r="R149" s="274">
        <v>1128.809</v>
      </c>
      <c r="S149" s="274">
        <v>1159.693</v>
      </c>
      <c r="T149" s="274">
        <v>1182.1679999999999</v>
      </c>
      <c r="U149" s="274">
        <v>1191.509</v>
      </c>
      <c r="V149" s="274">
        <v>1184.8219999999999</v>
      </c>
      <c r="W149" s="274">
        <v>1165.2</v>
      </c>
      <c r="X149" s="274">
        <v>1141.2170000000001</v>
      </c>
      <c r="Y149" s="274">
        <v>1124.9290000000001</v>
      </c>
      <c r="Z149" s="274">
        <v>1124.8430000000001</v>
      </c>
      <c r="AA149" s="274">
        <v>1144.297</v>
      </c>
      <c r="AB149" s="274">
        <v>1180.2729999999999</v>
      </c>
      <c r="AC149" s="274">
        <v>1227.1600000000001</v>
      </c>
      <c r="AD149" s="274">
        <v>1276.3679999999999</v>
      </c>
      <c r="AE149" s="274">
        <v>1321.6769999999999</v>
      </c>
      <c r="AF149" s="274">
        <v>1361.6120000000001</v>
      </c>
      <c r="AG149" s="274">
        <v>1398.2950000000001</v>
      </c>
      <c r="AH149" s="274">
        <v>1433.3820000000001</v>
      </c>
      <c r="AI149" s="274">
        <v>1469.73</v>
      </c>
      <c r="AJ149" s="274">
        <v>1509.4839999999999</v>
      </c>
      <c r="AK149" s="274">
        <v>1553.0940000000001</v>
      </c>
      <c r="AL149" s="274">
        <v>1599.96</v>
      </c>
      <c r="AM149" s="274">
        <v>1650.0139999999999</v>
      </c>
      <c r="AN149" s="274">
        <v>1702.9739999999999</v>
      </c>
      <c r="AO149" s="274">
        <v>1758.788</v>
      </c>
      <c r="AP149" s="274">
        <v>1817.336</v>
      </c>
      <c r="AQ149" s="274">
        <v>1879.2180000000001</v>
      </c>
      <c r="AR149" s="274">
        <v>1945.9469999999999</v>
      </c>
      <c r="AS149" s="274">
        <v>2019.4860000000001</v>
      </c>
      <c r="AT149" s="274">
        <v>2101.1559999999999</v>
      </c>
      <c r="AU149" s="274">
        <v>2190.7159999999999</v>
      </c>
      <c r="AV149" s="274">
        <v>2287.375</v>
      </c>
      <c r="AW149" s="274">
        <v>2391.0700000000002</v>
      </c>
      <c r="AX149" s="274">
        <v>2501.6129999999998</v>
      </c>
      <c r="AY149" s="274">
        <v>2618.2719999999999</v>
      </c>
      <c r="AZ149" s="274">
        <v>2742.127</v>
      </c>
      <c r="BA149" s="274">
        <v>2871.6370000000002</v>
      </c>
      <c r="BB149" s="274">
        <v>3000.3119999999999</v>
      </c>
      <c r="BC149" s="274">
        <v>3119.607</v>
      </c>
      <c r="BD149" s="274">
        <v>3223.7809999999999</v>
      </c>
      <c r="BE149" s="274">
        <v>3309.9780000000001</v>
      </c>
      <c r="BF149" s="274">
        <v>3380.9070000000002</v>
      </c>
      <c r="BG149" s="274">
        <v>3443.3330000000001</v>
      </c>
      <c r="BH149" s="274">
        <v>3507.096</v>
      </c>
      <c r="BI149" s="274">
        <v>3579.462</v>
      </c>
      <c r="BJ149" s="274">
        <v>3662.5610000000001</v>
      </c>
      <c r="BK149" s="274">
        <v>3754.6930000000002</v>
      </c>
      <c r="BL149" s="274">
        <v>3854.6669999999999</v>
      </c>
      <c r="BM149" s="274">
        <v>3959.9879999999998</v>
      </c>
      <c r="BN149" s="274">
        <v>4068.78</v>
      </c>
      <c r="BO149" s="274">
        <v>4181.1350000000002</v>
      </c>
      <c r="BP149" s="274">
        <v>4297.826</v>
      </c>
      <c r="BQ149" s="274">
        <v>4418.3410000000003</v>
      </c>
      <c r="BR149" s="274">
        <v>4542.0590000000002</v>
      </c>
      <c r="BS149" s="274">
        <v>4668.4660000000003</v>
      </c>
    </row>
    <row r="150" spans="1:71" x14ac:dyDescent="0.4">
      <c r="A150" s="270">
        <v>131</v>
      </c>
      <c r="B150" s="271" t="s">
        <v>890</v>
      </c>
      <c r="C150" s="276" t="s">
        <v>782</v>
      </c>
      <c r="D150" s="273"/>
      <c r="E150" s="273">
        <v>760</v>
      </c>
      <c r="F150" s="274">
        <v>3413.3290000000002</v>
      </c>
      <c r="G150" s="274">
        <v>3500.65</v>
      </c>
      <c r="H150" s="274">
        <v>3595.2269999999999</v>
      </c>
      <c r="I150" s="274">
        <v>3697.0410000000002</v>
      </c>
      <c r="J150" s="274">
        <v>3805.9850000000001</v>
      </c>
      <c r="K150" s="274">
        <v>3921.864</v>
      </c>
      <c r="L150" s="274">
        <v>4044.39</v>
      </c>
      <c r="M150" s="274">
        <v>4173.1850000000004</v>
      </c>
      <c r="N150" s="274">
        <v>4307.8090000000002</v>
      </c>
      <c r="O150" s="274">
        <v>4447.7969999999996</v>
      </c>
      <c r="P150" s="274">
        <v>4592.777</v>
      </c>
      <c r="Q150" s="274">
        <v>4742.5959999999995</v>
      </c>
      <c r="R150" s="274">
        <v>4897.4279999999999</v>
      </c>
      <c r="S150" s="274">
        <v>5057.8249999999998</v>
      </c>
      <c r="T150" s="274">
        <v>5224.5789999999997</v>
      </c>
      <c r="U150" s="274">
        <v>5398.3329999999996</v>
      </c>
      <c r="V150" s="274">
        <v>5579.2830000000004</v>
      </c>
      <c r="W150" s="274">
        <v>5767.4780000000001</v>
      </c>
      <c r="X150" s="274">
        <v>5963.2479999999996</v>
      </c>
      <c r="Y150" s="274">
        <v>6166.933</v>
      </c>
      <c r="Z150" s="274">
        <v>6378.8019999999997</v>
      </c>
      <c r="AA150" s="274">
        <v>6599.366</v>
      </c>
      <c r="AB150" s="274">
        <v>6828.7650000000003</v>
      </c>
      <c r="AC150" s="274">
        <v>7066.4740000000002</v>
      </c>
      <c r="AD150" s="274">
        <v>7311.6850000000004</v>
      </c>
      <c r="AE150" s="274">
        <v>7564</v>
      </c>
      <c r="AF150" s="274">
        <v>7822.61</v>
      </c>
      <c r="AG150" s="274">
        <v>8088.1480000000001</v>
      </c>
      <c r="AH150" s="274">
        <v>8363.3459999999995</v>
      </c>
      <c r="AI150" s="274">
        <v>8651.9040000000005</v>
      </c>
      <c r="AJ150" s="274">
        <v>8956.1560000000009</v>
      </c>
      <c r="AK150" s="274">
        <v>9277.2630000000008</v>
      </c>
      <c r="AL150" s="274">
        <v>9613.5169999999998</v>
      </c>
      <c r="AM150" s="274">
        <v>9960.8330000000005</v>
      </c>
      <c r="AN150" s="274">
        <v>10313.485000000001</v>
      </c>
      <c r="AO150" s="274">
        <v>10667.245000000001</v>
      </c>
      <c r="AP150" s="274">
        <v>11020.718000000001</v>
      </c>
      <c r="AQ150" s="274">
        <v>11374.772000000001</v>
      </c>
      <c r="AR150" s="274">
        <v>11730.217000000001</v>
      </c>
      <c r="AS150" s="274">
        <v>12088.714</v>
      </c>
      <c r="AT150" s="274">
        <v>12451.539000000001</v>
      </c>
      <c r="AU150" s="274">
        <v>12817.578</v>
      </c>
      <c r="AV150" s="274">
        <v>13186.187</v>
      </c>
      <c r="AW150" s="274">
        <v>13559.642</v>
      </c>
      <c r="AX150" s="274">
        <v>13941.025</v>
      </c>
      <c r="AY150" s="274">
        <v>14331.962</v>
      </c>
      <c r="AZ150" s="274">
        <v>14736.209000000001</v>
      </c>
      <c r="BA150" s="274">
        <v>15151.962</v>
      </c>
      <c r="BB150" s="274">
        <v>15568.797</v>
      </c>
      <c r="BC150" s="274">
        <v>15972.43</v>
      </c>
      <c r="BD150" s="274">
        <v>16354.05</v>
      </c>
      <c r="BE150" s="274">
        <v>16694.414000000001</v>
      </c>
      <c r="BF150" s="274">
        <v>16997.521000000001</v>
      </c>
      <c r="BG150" s="274">
        <v>17304.339</v>
      </c>
      <c r="BH150" s="274">
        <v>17671.913</v>
      </c>
      <c r="BI150" s="274">
        <v>18132.842000000001</v>
      </c>
      <c r="BJ150" s="274">
        <v>18728.2</v>
      </c>
      <c r="BK150" s="274">
        <v>19425.597000000002</v>
      </c>
      <c r="BL150" s="274">
        <v>20097.057000000001</v>
      </c>
      <c r="BM150" s="274">
        <v>20566.870999999999</v>
      </c>
      <c r="BN150" s="274">
        <v>20720.601999999999</v>
      </c>
      <c r="BO150" s="274">
        <v>20501.167000000001</v>
      </c>
      <c r="BP150" s="274">
        <v>19978.756000000001</v>
      </c>
      <c r="BQ150" s="274">
        <v>19322.593000000001</v>
      </c>
      <c r="BR150" s="274">
        <v>18772.481</v>
      </c>
      <c r="BS150" s="274">
        <v>18502.413</v>
      </c>
    </row>
    <row r="151" spans="1:71" x14ac:dyDescent="0.4">
      <c r="A151" s="270">
        <v>132</v>
      </c>
      <c r="B151" s="271" t="s">
        <v>890</v>
      </c>
      <c r="C151" s="276" t="s">
        <v>813</v>
      </c>
      <c r="D151" s="273"/>
      <c r="E151" s="273">
        <v>792</v>
      </c>
      <c r="F151" s="274">
        <v>21238.495999999999</v>
      </c>
      <c r="G151" s="274">
        <v>21806.355</v>
      </c>
      <c r="H151" s="274">
        <v>22393.931</v>
      </c>
      <c r="I151" s="274">
        <v>22999.018</v>
      </c>
      <c r="J151" s="274">
        <v>23619.469000000001</v>
      </c>
      <c r="K151" s="274">
        <v>24253.200000000001</v>
      </c>
      <c r="L151" s="274">
        <v>24898.17</v>
      </c>
      <c r="M151" s="274">
        <v>25552.398000000001</v>
      </c>
      <c r="N151" s="274">
        <v>26214.022000000001</v>
      </c>
      <c r="O151" s="274">
        <v>26881.379000000001</v>
      </c>
      <c r="P151" s="274">
        <v>27553.279999999999</v>
      </c>
      <c r="Q151" s="274">
        <v>28229.291000000001</v>
      </c>
      <c r="R151" s="274">
        <v>28909.985000000001</v>
      </c>
      <c r="S151" s="274">
        <v>29597.046999999999</v>
      </c>
      <c r="T151" s="274">
        <v>30292.969000000001</v>
      </c>
      <c r="U151" s="274">
        <v>31000.167000000001</v>
      </c>
      <c r="V151" s="274">
        <v>31718.266</v>
      </c>
      <c r="W151" s="274">
        <v>32448.403999999999</v>
      </c>
      <c r="X151" s="274">
        <v>33196.288999999997</v>
      </c>
      <c r="Y151" s="274">
        <v>33969.201000000001</v>
      </c>
      <c r="Z151" s="274">
        <v>34772.031000000003</v>
      </c>
      <c r="AA151" s="274">
        <v>35608.078999999998</v>
      </c>
      <c r="AB151" s="274">
        <v>36475.356</v>
      </c>
      <c r="AC151" s="274">
        <v>37366.921999999999</v>
      </c>
      <c r="AD151" s="274">
        <v>38272.701000000001</v>
      </c>
      <c r="AE151" s="274">
        <v>39185.637000000002</v>
      </c>
      <c r="AF151" s="274">
        <v>40100.696000000004</v>
      </c>
      <c r="AG151" s="274">
        <v>41020.211000000003</v>
      </c>
      <c r="AH151" s="274">
        <v>41953.105000000003</v>
      </c>
      <c r="AI151" s="274">
        <v>42912.35</v>
      </c>
      <c r="AJ151" s="274">
        <v>43905.79</v>
      </c>
      <c r="AK151" s="274">
        <v>44936.836000000003</v>
      </c>
      <c r="AL151" s="274">
        <v>45997.94</v>
      </c>
      <c r="AM151" s="274">
        <v>47072.603000000003</v>
      </c>
      <c r="AN151" s="274">
        <v>48138.190999999999</v>
      </c>
      <c r="AO151" s="274">
        <v>49178.078999999998</v>
      </c>
      <c r="AP151" s="274">
        <v>50187.091</v>
      </c>
      <c r="AQ151" s="274">
        <v>51168.841</v>
      </c>
      <c r="AR151" s="274">
        <v>52126.497000000003</v>
      </c>
      <c r="AS151" s="274">
        <v>53066.569000000003</v>
      </c>
      <c r="AT151" s="274">
        <v>53994.605000000003</v>
      </c>
      <c r="AU151" s="274">
        <v>54909.508000000002</v>
      </c>
      <c r="AV151" s="274">
        <v>55811.133999999998</v>
      </c>
      <c r="AW151" s="274">
        <v>56707.453999999998</v>
      </c>
      <c r="AX151" s="274">
        <v>57608.769</v>
      </c>
      <c r="AY151" s="274">
        <v>58522.32</v>
      </c>
      <c r="AZ151" s="274">
        <v>59451.487999999998</v>
      </c>
      <c r="BA151" s="274">
        <v>60394.103999999999</v>
      </c>
      <c r="BB151" s="274">
        <v>61344.874000000003</v>
      </c>
      <c r="BC151" s="274">
        <v>62295.616999999998</v>
      </c>
      <c r="BD151" s="274">
        <v>63240.156999999999</v>
      </c>
      <c r="BE151" s="274">
        <v>64182.694000000003</v>
      </c>
      <c r="BF151" s="274">
        <v>65125.766000000003</v>
      </c>
      <c r="BG151" s="274">
        <v>66060.120999999999</v>
      </c>
      <c r="BH151" s="274">
        <v>66973.561000000002</v>
      </c>
      <c r="BI151" s="274">
        <v>67860.616999999998</v>
      </c>
      <c r="BJ151" s="274">
        <v>68704.721000000005</v>
      </c>
      <c r="BK151" s="274">
        <v>69515.491999999998</v>
      </c>
      <c r="BL151" s="274">
        <v>70344.357000000004</v>
      </c>
      <c r="BM151" s="274">
        <v>71261.307000000001</v>
      </c>
      <c r="BN151" s="274">
        <v>72310.415999999997</v>
      </c>
      <c r="BO151" s="274">
        <v>73517.001999999993</v>
      </c>
      <c r="BP151" s="274">
        <v>74849.187000000005</v>
      </c>
      <c r="BQ151" s="274">
        <v>76223.638999999996</v>
      </c>
      <c r="BR151" s="274">
        <v>77523.788</v>
      </c>
      <c r="BS151" s="274">
        <v>78665.83</v>
      </c>
    </row>
    <row r="152" spans="1:71" x14ac:dyDescent="0.4">
      <c r="A152" s="270">
        <v>133</v>
      </c>
      <c r="B152" s="271" t="s">
        <v>890</v>
      </c>
      <c r="C152" s="276" t="s">
        <v>831</v>
      </c>
      <c r="D152" s="273"/>
      <c r="E152" s="273">
        <v>784</v>
      </c>
      <c r="F152" s="274">
        <v>69.59</v>
      </c>
      <c r="G152" s="274">
        <v>67.971999999999994</v>
      </c>
      <c r="H152" s="274">
        <v>69.813000000000002</v>
      </c>
      <c r="I152" s="274">
        <v>73.183999999999997</v>
      </c>
      <c r="J152" s="274">
        <v>76.707999999999998</v>
      </c>
      <c r="K152" s="274">
        <v>79.566000000000003</v>
      </c>
      <c r="L152" s="274">
        <v>81.515000000000001</v>
      </c>
      <c r="M152" s="274">
        <v>82.87</v>
      </c>
      <c r="N152" s="274">
        <v>84.42</v>
      </c>
      <c r="O152" s="274">
        <v>87.302999999999997</v>
      </c>
      <c r="P152" s="274">
        <v>92.611999999999995</v>
      </c>
      <c r="Q152" s="274">
        <v>100.985</v>
      </c>
      <c r="R152" s="274">
        <v>112.24</v>
      </c>
      <c r="S152" s="274">
        <v>125.21599999999999</v>
      </c>
      <c r="T152" s="274">
        <v>138.22</v>
      </c>
      <c r="U152" s="274">
        <v>150.31800000000001</v>
      </c>
      <c r="V152" s="274">
        <v>161.077</v>
      </c>
      <c r="W152" s="274">
        <v>171.78100000000001</v>
      </c>
      <c r="X152" s="274">
        <v>185.31200000000001</v>
      </c>
      <c r="Y152" s="274">
        <v>205.57</v>
      </c>
      <c r="Z152" s="274">
        <v>235.434</v>
      </c>
      <c r="AA152" s="274">
        <v>275.16000000000003</v>
      </c>
      <c r="AB152" s="274">
        <v>324.06900000000002</v>
      </c>
      <c r="AC152" s="274">
        <v>382.82299999999998</v>
      </c>
      <c r="AD152" s="274">
        <v>451.94799999999998</v>
      </c>
      <c r="AE152" s="274">
        <v>531.26499999999999</v>
      </c>
      <c r="AF152" s="274">
        <v>622.05100000000004</v>
      </c>
      <c r="AG152" s="274">
        <v>722.84900000000005</v>
      </c>
      <c r="AH152" s="274">
        <v>827.39400000000001</v>
      </c>
      <c r="AI152" s="274">
        <v>927.303</v>
      </c>
      <c r="AJ152" s="274">
        <v>1016.789</v>
      </c>
      <c r="AK152" s="274">
        <v>1093.1079999999999</v>
      </c>
      <c r="AL152" s="274">
        <v>1158.4770000000001</v>
      </c>
      <c r="AM152" s="274">
        <v>1218.223</v>
      </c>
      <c r="AN152" s="274">
        <v>1280.278</v>
      </c>
      <c r="AO152" s="274">
        <v>1350.433</v>
      </c>
      <c r="AP152" s="274">
        <v>1430.548</v>
      </c>
      <c r="AQ152" s="274">
        <v>1518.991</v>
      </c>
      <c r="AR152" s="274">
        <v>1613.904</v>
      </c>
      <c r="AS152" s="274">
        <v>1712.117</v>
      </c>
      <c r="AT152" s="274">
        <v>1811.4580000000001</v>
      </c>
      <c r="AU152" s="274">
        <v>1913.19</v>
      </c>
      <c r="AV152" s="274">
        <v>2019.0139999999999</v>
      </c>
      <c r="AW152" s="274">
        <v>2127.8629999999998</v>
      </c>
      <c r="AX152" s="274">
        <v>2238.2809999999999</v>
      </c>
      <c r="AY152" s="274">
        <v>2350.192</v>
      </c>
      <c r="AZ152" s="274">
        <v>2467.7260000000001</v>
      </c>
      <c r="BA152" s="274">
        <v>2595.2199999999998</v>
      </c>
      <c r="BB152" s="274">
        <v>2733.77</v>
      </c>
      <c r="BC152" s="274">
        <v>2884.1880000000001</v>
      </c>
      <c r="BD152" s="274">
        <v>3050.1280000000002</v>
      </c>
      <c r="BE152" s="274">
        <v>3217.8649999999998</v>
      </c>
      <c r="BF152" s="274">
        <v>3394.06</v>
      </c>
      <c r="BG152" s="274">
        <v>3625.7979999999998</v>
      </c>
      <c r="BH152" s="274">
        <v>3975.9450000000002</v>
      </c>
      <c r="BI152" s="274">
        <v>4481.9759999999997</v>
      </c>
      <c r="BJ152" s="274">
        <v>5171.2550000000001</v>
      </c>
      <c r="BK152" s="274">
        <v>6010.1</v>
      </c>
      <c r="BL152" s="274">
        <v>6900.1419999999998</v>
      </c>
      <c r="BM152" s="274">
        <v>7705.4229999999998</v>
      </c>
      <c r="BN152" s="274">
        <v>8329.4529999999995</v>
      </c>
      <c r="BO152" s="274">
        <v>8734.7219999999998</v>
      </c>
      <c r="BP152" s="274">
        <v>8952.5419999999995</v>
      </c>
      <c r="BQ152" s="274">
        <v>9039.9779999999992</v>
      </c>
      <c r="BR152" s="274">
        <v>9086.1389999999992</v>
      </c>
      <c r="BS152" s="274">
        <v>9156.9629999999997</v>
      </c>
    </row>
    <row r="153" spans="1:71" x14ac:dyDescent="0.4">
      <c r="A153" s="270">
        <v>134</v>
      </c>
      <c r="B153" s="271" t="s">
        <v>890</v>
      </c>
      <c r="C153" s="276" t="s">
        <v>865</v>
      </c>
      <c r="D153" s="273"/>
      <c r="E153" s="273">
        <v>887</v>
      </c>
      <c r="F153" s="274">
        <v>4402.32</v>
      </c>
      <c r="G153" s="274">
        <v>4474.0249999999996</v>
      </c>
      <c r="H153" s="274">
        <v>4546.1000000000004</v>
      </c>
      <c r="I153" s="274">
        <v>4618.8710000000001</v>
      </c>
      <c r="J153" s="274">
        <v>4692.62</v>
      </c>
      <c r="K153" s="274">
        <v>4767.5889999999999</v>
      </c>
      <c r="L153" s="274">
        <v>4843.9740000000002</v>
      </c>
      <c r="M153" s="274">
        <v>4921.9290000000001</v>
      </c>
      <c r="N153" s="274">
        <v>5001.5720000000001</v>
      </c>
      <c r="O153" s="274">
        <v>5082.9979999999996</v>
      </c>
      <c r="P153" s="274">
        <v>5166.3109999999997</v>
      </c>
      <c r="Q153" s="274">
        <v>5251.6629999999996</v>
      </c>
      <c r="R153" s="274">
        <v>5339.2849999999999</v>
      </c>
      <c r="S153" s="274">
        <v>5429.5010000000002</v>
      </c>
      <c r="T153" s="274">
        <v>5522.69</v>
      </c>
      <c r="U153" s="274">
        <v>5619.17</v>
      </c>
      <c r="V153" s="274">
        <v>5720.5379999999996</v>
      </c>
      <c r="W153" s="274">
        <v>5827.223</v>
      </c>
      <c r="X153" s="274">
        <v>5937.125</v>
      </c>
      <c r="Y153" s="274">
        <v>6047.23</v>
      </c>
      <c r="Z153" s="274">
        <v>6156.2340000000004</v>
      </c>
      <c r="AA153" s="274">
        <v>6262.9340000000002</v>
      </c>
      <c r="AB153" s="274">
        <v>6370.5990000000002</v>
      </c>
      <c r="AC153" s="274">
        <v>6487.8530000000001</v>
      </c>
      <c r="AD153" s="274">
        <v>6626.2079999999996</v>
      </c>
      <c r="AE153" s="274">
        <v>6793.9790000000003</v>
      </c>
      <c r="AF153" s="274">
        <v>6994.84</v>
      </c>
      <c r="AG153" s="274">
        <v>7226.8850000000002</v>
      </c>
      <c r="AH153" s="274">
        <v>7485.9210000000003</v>
      </c>
      <c r="AI153" s="274">
        <v>7765.0870000000004</v>
      </c>
      <c r="AJ153" s="274">
        <v>8059.3810000000003</v>
      </c>
      <c r="AK153" s="274">
        <v>8369.7080000000005</v>
      </c>
      <c r="AL153" s="274">
        <v>8698.3040000000001</v>
      </c>
      <c r="AM153" s="274">
        <v>9043.2099999999991</v>
      </c>
      <c r="AN153" s="274">
        <v>9402.07</v>
      </c>
      <c r="AO153" s="274">
        <v>9774.2420000000002</v>
      </c>
      <c r="AP153" s="274">
        <v>10153.612999999999</v>
      </c>
      <c r="AQ153" s="274">
        <v>10542.601000000001</v>
      </c>
      <c r="AR153" s="274">
        <v>10958.983</v>
      </c>
      <c r="AS153" s="274">
        <v>11426.912</v>
      </c>
      <c r="AT153" s="274">
        <v>11961.099</v>
      </c>
      <c r="AU153" s="274">
        <v>12571.24</v>
      </c>
      <c r="AV153" s="274">
        <v>13245.003000000001</v>
      </c>
      <c r="AW153" s="274">
        <v>13948.118</v>
      </c>
      <c r="AX153" s="274">
        <v>14633.091</v>
      </c>
      <c r="AY153" s="274">
        <v>15266.147000000001</v>
      </c>
      <c r="AZ153" s="274">
        <v>15834.746999999999</v>
      </c>
      <c r="BA153" s="274">
        <v>16349.808999999999</v>
      </c>
      <c r="BB153" s="274">
        <v>16829.935000000001</v>
      </c>
      <c r="BC153" s="274">
        <v>17304.421999999999</v>
      </c>
      <c r="BD153" s="274">
        <v>17795.219000000001</v>
      </c>
      <c r="BE153" s="274">
        <v>18306.287</v>
      </c>
      <c r="BF153" s="274">
        <v>18832.097000000002</v>
      </c>
      <c r="BG153" s="274">
        <v>19374.011999999999</v>
      </c>
      <c r="BH153" s="274">
        <v>19931.616999999998</v>
      </c>
      <c r="BI153" s="274">
        <v>20504.384999999998</v>
      </c>
      <c r="BJ153" s="274">
        <v>21093.973000000002</v>
      </c>
      <c r="BK153" s="274">
        <v>21701.105</v>
      </c>
      <c r="BL153" s="274">
        <v>22322.699000000001</v>
      </c>
      <c r="BM153" s="274">
        <v>22954.225999999999</v>
      </c>
      <c r="BN153" s="274">
        <v>23591.972000000002</v>
      </c>
      <c r="BO153" s="274">
        <v>24234.94</v>
      </c>
      <c r="BP153" s="274">
        <v>24882.792000000001</v>
      </c>
      <c r="BQ153" s="274">
        <v>25533.217000000001</v>
      </c>
      <c r="BR153" s="274">
        <v>26183.675999999999</v>
      </c>
      <c r="BS153" s="274">
        <v>26832.215</v>
      </c>
    </row>
    <row r="154" spans="1:71" x14ac:dyDescent="0.4">
      <c r="A154" s="270">
        <v>135</v>
      </c>
      <c r="B154" s="271" t="s">
        <v>890</v>
      </c>
      <c r="C154" s="272" t="s">
        <v>931</v>
      </c>
      <c r="D154" s="273"/>
      <c r="E154" s="273">
        <v>908</v>
      </c>
      <c r="F154" s="274">
        <v>549089.10699999996</v>
      </c>
      <c r="G154" s="274">
        <v>554113.92599999998</v>
      </c>
      <c r="H154" s="274">
        <v>559525.16099999996</v>
      </c>
      <c r="I154" s="274">
        <v>565161.58700000006</v>
      </c>
      <c r="J154" s="274">
        <v>570901.70799999998</v>
      </c>
      <c r="K154" s="274">
        <v>576663.73699999996</v>
      </c>
      <c r="L154" s="274">
        <v>582407.66299999994</v>
      </c>
      <c r="M154" s="274">
        <v>588133.19900000002</v>
      </c>
      <c r="N154" s="274">
        <v>593873.62100000004</v>
      </c>
      <c r="O154" s="274">
        <v>599685.62300000002</v>
      </c>
      <c r="P154" s="274">
        <v>605618.56599999999</v>
      </c>
      <c r="Q154" s="274">
        <v>611681.87199999997</v>
      </c>
      <c r="R154" s="274">
        <v>617816.348</v>
      </c>
      <c r="S154" s="274">
        <v>623881.96699999995</v>
      </c>
      <c r="T154" s="274">
        <v>629692.58400000003</v>
      </c>
      <c r="U154" s="274">
        <v>635118.13199999998</v>
      </c>
      <c r="V154" s="274">
        <v>640095.27500000002</v>
      </c>
      <c r="W154" s="274">
        <v>644667.47900000005</v>
      </c>
      <c r="X154" s="274">
        <v>648943.69400000002</v>
      </c>
      <c r="Y154" s="274">
        <v>653088.62899999996</v>
      </c>
      <c r="Z154" s="274">
        <v>657221.446</v>
      </c>
      <c r="AA154" s="274">
        <v>661376.65899999999</v>
      </c>
      <c r="AB154" s="274">
        <v>665515.07799999998</v>
      </c>
      <c r="AC154" s="274">
        <v>669594.41899999999</v>
      </c>
      <c r="AD154" s="274">
        <v>673545.06900000002</v>
      </c>
      <c r="AE154" s="274">
        <v>677317.79200000002</v>
      </c>
      <c r="AF154" s="274">
        <v>680908.85100000002</v>
      </c>
      <c r="AG154" s="274">
        <v>684342.89399999997</v>
      </c>
      <c r="AH154" s="274">
        <v>687632.78799999994</v>
      </c>
      <c r="AI154" s="274">
        <v>690798.97199999995</v>
      </c>
      <c r="AJ154" s="274">
        <v>693859.43900000001</v>
      </c>
      <c r="AK154" s="274">
        <v>696802.01</v>
      </c>
      <c r="AL154" s="274">
        <v>699627.83499999996</v>
      </c>
      <c r="AM154" s="274">
        <v>702383.08600000001</v>
      </c>
      <c r="AN154" s="274">
        <v>705128.31</v>
      </c>
      <c r="AO154" s="274">
        <v>707898.95400000003</v>
      </c>
      <c r="AP154" s="274">
        <v>710710.84400000004</v>
      </c>
      <c r="AQ154" s="274">
        <v>713527.71200000006</v>
      </c>
      <c r="AR154" s="274">
        <v>716267.17</v>
      </c>
      <c r="AS154" s="274">
        <v>718815.86499999999</v>
      </c>
      <c r="AT154" s="274">
        <v>721086.31099999999</v>
      </c>
      <c r="AU154" s="274">
        <v>723078.93</v>
      </c>
      <c r="AV154" s="274">
        <v>724804.55900000001</v>
      </c>
      <c r="AW154" s="274">
        <v>726203.16299999994</v>
      </c>
      <c r="AX154" s="274">
        <v>727205.04399999999</v>
      </c>
      <c r="AY154" s="274">
        <v>727778.44</v>
      </c>
      <c r="AZ154" s="274">
        <v>727890.35400000005</v>
      </c>
      <c r="BA154" s="274">
        <v>727603.75899999996</v>
      </c>
      <c r="BB154" s="274">
        <v>727104.19299999997</v>
      </c>
      <c r="BC154" s="274">
        <v>726642.83900000004</v>
      </c>
      <c r="BD154" s="274">
        <v>726407.44799999997</v>
      </c>
      <c r="BE154" s="274">
        <v>726453.946</v>
      </c>
      <c r="BF154" s="274">
        <v>726753.42299999995</v>
      </c>
      <c r="BG154" s="274">
        <v>727301.26100000006</v>
      </c>
      <c r="BH154" s="274">
        <v>728064.36399999994</v>
      </c>
      <c r="BI154" s="274">
        <v>729007.47</v>
      </c>
      <c r="BJ154" s="274">
        <v>730152.30500000005</v>
      </c>
      <c r="BK154" s="274">
        <v>731487.69</v>
      </c>
      <c r="BL154" s="274">
        <v>732900.44200000004</v>
      </c>
      <c r="BM154" s="274">
        <v>734239.63699999999</v>
      </c>
      <c r="BN154" s="274">
        <v>735394.902</v>
      </c>
      <c r="BO154" s="274">
        <v>736315.57499999995</v>
      </c>
      <c r="BP154" s="274">
        <v>737021.81200000003</v>
      </c>
      <c r="BQ154" s="274">
        <v>737561.46299999999</v>
      </c>
      <c r="BR154" s="274">
        <v>738015.74300000002</v>
      </c>
      <c r="BS154" s="274">
        <v>738442.07</v>
      </c>
    </row>
    <row r="155" spans="1:71" x14ac:dyDescent="0.4">
      <c r="A155" s="270">
        <v>136</v>
      </c>
      <c r="B155" s="271" t="s">
        <v>890</v>
      </c>
      <c r="C155" s="277" t="s">
        <v>932</v>
      </c>
      <c r="D155" s="273"/>
      <c r="E155" s="273">
        <v>923</v>
      </c>
      <c r="F155" s="274">
        <v>220170.535</v>
      </c>
      <c r="G155" s="274">
        <v>223294.897</v>
      </c>
      <c r="H155" s="274">
        <v>226623.652</v>
      </c>
      <c r="I155" s="274">
        <v>230076.212</v>
      </c>
      <c r="J155" s="274">
        <v>233584.89300000001</v>
      </c>
      <c r="K155" s="274">
        <v>237094.91800000001</v>
      </c>
      <c r="L155" s="274">
        <v>240564.84899999999</v>
      </c>
      <c r="M155" s="274">
        <v>243966.152</v>
      </c>
      <c r="N155" s="274">
        <v>247281.90100000001</v>
      </c>
      <c r="O155" s="274">
        <v>250504.61499999999</v>
      </c>
      <c r="P155" s="274">
        <v>253629.774</v>
      </c>
      <c r="Q155" s="274">
        <v>256648.89499999999</v>
      </c>
      <c r="R155" s="274">
        <v>259543.481</v>
      </c>
      <c r="S155" s="274">
        <v>262282.42599999998</v>
      </c>
      <c r="T155" s="274">
        <v>264829.36499999999</v>
      </c>
      <c r="U155" s="274">
        <v>267164.29800000001</v>
      </c>
      <c r="V155" s="274">
        <v>269270.78200000001</v>
      </c>
      <c r="W155" s="274">
        <v>271171.196</v>
      </c>
      <c r="X155" s="274">
        <v>272933.61099999998</v>
      </c>
      <c r="Y155" s="274">
        <v>274651.891</v>
      </c>
      <c r="Z155" s="274">
        <v>276396.34299999999</v>
      </c>
      <c r="AA155" s="274">
        <v>278191.022</v>
      </c>
      <c r="AB155" s="274">
        <v>280025.57199999999</v>
      </c>
      <c r="AC155" s="274">
        <v>281893.39199999999</v>
      </c>
      <c r="AD155" s="274">
        <v>283775.51899999997</v>
      </c>
      <c r="AE155" s="274">
        <v>285657.05499999999</v>
      </c>
      <c r="AF155" s="274">
        <v>287538.24300000002</v>
      </c>
      <c r="AG155" s="274">
        <v>289424.29499999998</v>
      </c>
      <c r="AH155" s="274">
        <v>291309.06900000002</v>
      </c>
      <c r="AI155" s="274">
        <v>293184.55800000002</v>
      </c>
      <c r="AJ155" s="274">
        <v>295041.913</v>
      </c>
      <c r="AK155" s="274">
        <v>296866.348</v>
      </c>
      <c r="AL155" s="274">
        <v>298646.72200000001</v>
      </c>
      <c r="AM155" s="274">
        <v>300380.467</v>
      </c>
      <c r="AN155" s="274">
        <v>302067.38699999999</v>
      </c>
      <c r="AO155" s="274">
        <v>303699.147</v>
      </c>
      <c r="AP155" s="274">
        <v>305276.21999999997</v>
      </c>
      <c r="AQ155" s="274">
        <v>306771.68</v>
      </c>
      <c r="AR155" s="274">
        <v>308116.72600000002</v>
      </c>
      <c r="AS155" s="274">
        <v>309223.08199999999</v>
      </c>
      <c r="AT155" s="274">
        <v>310026.859</v>
      </c>
      <c r="AU155" s="274">
        <v>310509.636</v>
      </c>
      <c r="AV155" s="274">
        <v>310686.30699999997</v>
      </c>
      <c r="AW155" s="274">
        <v>310570.20299999998</v>
      </c>
      <c r="AX155" s="274">
        <v>310188.50900000002</v>
      </c>
      <c r="AY155" s="274">
        <v>309569.35200000001</v>
      </c>
      <c r="AZ155" s="274">
        <v>308722.24099999998</v>
      </c>
      <c r="BA155" s="274">
        <v>307665.397</v>
      </c>
      <c r="BB155" s="274">
        <v>306449.88500000001</v>
      </c>
      <c r="BC155" s="274">
        <v>305139.24099999998</v>
      </c>
      <c r="BD155" s="274">
        <v>303788.505</v>
      </c>
      <c r="BE155" s="274">
        <v>302416.60100000002</v>
      </c>
      <c r="BF155" s="274">
        <v>301043.33100000001</v>
      </c>
      <c r="BG155" s="274">
        <v>299724.20299999998</v>
      </c>
      <c r="BH155" s="274">
        <v>298522.30200000003</v>
      </c>
      <c r="BI155" s="274">
        <v>297481.98200000002</v>
      </c>
      <c r="BJ155" s="274">
        <v>296627.03100000002</v>
      </c>
      <c r="BK155" s="274">
        <v>295948.76</v>
      </c>
      <c r="BL155" s="274">
        <v>295415.71999999997</v>
      </c>
      <c r="BM155" s="274">
        <v>294977.23599999998</v>
      </c>
      <c r="BN155" s="274">
        <v>294591.16399999999</v>
      </c>
      <c r="BO155" s="274">
        <v>294249.97100000002</v>
      </c>
      <c r="BP155" s="274">
        <v>293950.37300000002</v>
      </c>
      <c r="BQ155" s="274">
        <v>293658.06900000002</v>
      </c>
      <c r="BR155" s="274">
        <v>293332.59700000001</v>
      </c>
      <c r="BS155" s="274">
        <v>292942.77799999999</v>
      </c>
    </row>
    <row r="156" spans="1:71" x14ac:dyDescent="0.4">
      <c r="A156" s="270">
        <v>137</v>
      </c>
      <c r="B156" s="271" t="s">
        <v>890</v>
      </c>
      <c r="C156" s="276" t="s">
        <v>241</v>
      </c>
      <c r="D156" s="273"/>
      <c r="E156" s="273">
        <v>112</v>
      </c>
      <c r="F156" s="274">
        <v>7745.0029999999997</v>
      </c>
      <c r="G156" s="274">
        <v>7717.7079999999996</v>
      </c>
      <c r="H156" s="274">
        <v>7711.027</v>
      </c>
      <c r="I156" s="274">
        <v>7724.1080000000002</v>
      </c>
      <c r="J156" s="274">
        <v>7755.576</v>
      </c>
      <c r="K156" s="274">
        <v>7803.5370000000003</v>
      </c>
      <c r="L156" s="274">
        <v>7865.54</v>
      </c>
      <c r="M156" s="274">
        <v>7938.6120000000001</v>
      </c>
      <c r="N156" s="274">
        <v>8019.3770000000004</v>
      </c>
      <c r="O156" s="274">
        <v>8104.2520000000004</v>
      </c>
      <c r="P156" s="274">
        <v>8190.027</v>
      </c>
      <c r="Q156" s="274">
        <v>8274.4860000000008</v>
      </c>
      <c r="R156" s="274">
        <v>8356.9560000000001</v>
      </c>
      <c r="S156" s="274">
        <v>8438.5349999999999</v>
      </c>
      <c r="T156" s="274">
        <v>8521.4330000000009</v>
      </c>
      <c r="U156" s="274">
        <v>8607.0310000000009</v>
      </c>
      <c r="V156" s="274">
        <v>8695.4330000000009</v>
      </c>
      <c r="W156" s="274">
        <v>8785.1380000000008</v>
      </c>
      <c r="X156" s="274">
        <v>8874.07</v>
      </c>
      <c r="Y156" s="274">
        <v>8959.4830000000002</v>
      </c>
      <c r="Z156" s="274">
        <v>9039.4359999999997</v>
      </c>
      <c r="AA156" s="274">
        <v>9113.2780000000002</v>
      </c>
      <c r="AB156" s="274">
        <v>9181.643</v>
      </c>
      <c r="AC156" s="274">
        <v>9245.5139999999992</v>
      </c>
      <c r="AD156" s="274">
        <v>9306.4719999999998</v>
      </c>
      <c r="AE156" s="274">
        <v>9365.83</v>
      </c>
      <c r="AF156" s="274">
        <v>9423.4210000000003</v>
      </c>
      <c r="AG156" s="274">
        <v>9479.2620000000006</v>
      </c>
      <c r="AH156" s="274">
        <v>9535.0689999999995</v>
      </c>
      <c r="AI156" s="274">
        <v>9593.0069999999996</v>
      </c>
      <c r="AJ156" s="274">
        <v>9654.4549999999999</v>
      </c>
      <c r="AK156" s="274">
        <v>9719.634</v>
      </c>
      <c r="AL156" s="274">
        <v>9787.5580000000009</v>
      </c>
      <c r="AM156" s="274">
        <v>9856.7800000000007</v>
      </c>
      <c r="AN156" s="274">
        <v>9925.2270000000008</v>
      </c>
      <c r="AO156" s="274">
        <v>9990.9660000000003</v>
      </c>
      <c r="AP156" s="274">
        <v>10053.975</v>
      </c>
      <c r="AQ156" s="274">
        <v>10113.450999999999</v>
      </c>
      <c r="AR156" s="274">
        <v>10165.745999999999</v>
      </c>
      <c r="AS156" s="274">
        <v>10206.299999999999</v>
      </c>
      <c r="AT156" s="274">
        <v>10231.983</v>
      </c>
      <c r="AU156" s="274">
        <v>10241.137000000001</v>
      </c>
      <c r="AV156" s="274">
        <v>10234.862999999999</v>
      </c>
      <c r="AW156" s="274">
        <v>10216.281000000001</v>
      </c>
      <c r="AX156" s="274">
        <v>10190.064</v>
      </c>
      <c r="AY156" s="274">
        <v>10159.731</v>
      </c>
      <c r="AZ156" s="274">
        <v>10126.941000000001</v>
      </c>
      <c r="BA156" s="274">
        <v>10091.181</v>
      </c>
      <c r="BB156" s="274">
        <v>10051.298000000001</v>
      </c>
      <c r="BC156" s="274">
        <v>10005.259</v>
      </c>
      <c r="BD156" s="274">
        <v>9952.0550000000003</v>
      </c>
      <c r="BE156" s="274">
        <v>9891.5349999999999</v>
      </c>
      <c r="BF156" s="274">
        <v>9825.8019999999997</v>
      </c>
      <c r="BG156" s="274">
        <v>9758.8169999999991</v>
      </c>
      <c r="BH156" s="274">
        <v>9695.7909999999993</v>
      </c>
      <c r="BI156" s="274">
        <v>9640.616</v>
      </c>
      <c r="BJ156" s="274">
        <v>9594.2330000000002</v>
      </c>
      <c r="BK156" s="274">
        <v>9556.0609999999997</v>
      </c>
      <c r="BL156" s="274">
        <v>9526.4529999999995</v>
      </c>
      <c r="BM156" s="274">
        <v>9505.3189999999995</v>
      </c>
      <c r="BN156" s="274">
        <v>9492.1219999999994</v>
      </c>
      <c r="BO156" s="274">
        <v>9487.6740000000009</v>
      </c>
      <c r="BP156" s="274">
        <v>9490.9619999999995</v>
      </c>
      <c r="BQ156" s="274">
        <v>9497.2939999999999</v>
      </c>
      <c r="BR156" s="274">
        <v>9500.4220000000005</v>
      </c>
      <c r="BS156" s="274">
        <v>9495.8259999999991</v>
      </c>
    </row>
    <row r="157" spans="1:71" x14ac:dyDescent="0.4">
      <c r="A157" s="270">
        <v>138</v>
      </c>
      <c r="B157" s="271" t="s">
        <v>890</v>
      </c>
      <c r="C157" s="276" t="s">
        <v>278</v>
      </c>
      <c r="D157" s="273"/>
      <c r="E157" s="273">
        <v>100</v>
      </c>
      <c r="F157" s="274">
        <v>7250.9989999999998</v>
      </c>
      <c r="G157" s="274">
        <v>7303.7730000000001</v>
      </c>
      <c r="H157" s="274">
        <v>7359.9970000000003</v>
      </c>
      <c r="I157" s="274">
        <v>7418.7650000000003</v>
      </c>
      <c r="J157" s="274">
        <v>7479.3670000000002</v>
      </c>
      <c r="K157" s="274">
        <v>7541.2950000000001</v>
      </c>
      <c r="L157" s="274">
        <v>7604.2510000000002</v>
      </c>
      <c r="M157" s="274">
        <v>7668.1390000000001</v>
      </c>
      <c r="N157" s="274">
        <v>7733.0259999999998</v>
      </c>
      <c r="O157" s="274">
        <v>7799.0950000000003</v>
      </c>
      <c r="P157" s="274">
        <v>7866.4719999999998</v>
      </c>
      <c r="Q157" s="274">
        <v>7935.058</v>
      </c>
      <c r="R157" s="274">
        <v>8004.3670000000002</v>
      </c>
      <c r="S157" s="274">
        <v>8073.4690000000001</v>
      </c>
      <c r="T157" s="274">
        <v>8141.1710000000003</v>
      </c>
      <c r="U157" s="274">
        <v>8206.5640000000003</v>
      </c>
      <c r="V157" s="274">
        <v>8269.1180000000004</v>
      </c>
      <c r="W157" s="274">
        <v>8328.8379999999997</v>
      </c>
      <c r="X157" s="274">
        <v>8386.0159999999996</v>
      </c>
      <c r="Y157" s="274">
        <v>8441.2139999999999</v>
      </c>
      <c r="Z157" s="274">
        <v>8494.7649999999994</v>
      </c>
      <c r="AA157" s="274">
        <v>8546.81</v>
      </c>
      <c r="AB157" s="274">
        <v>8596.9619999999995</v>
      </c>
      <c r="AC157" s="274">
        <v>8644.4189999999999</v>
      </c>
      <c r="AD157" s="274">
        <v>8688.1119999999992</v>
      </c>
      <c r="AE157" s="274">
        <v>8727.3320000000003</v>
      </c>
      <c r="AF157" s="274">
        <v>8761.2309999999998</v>
      </c>
      <c r="AG157" s="274">
        <v>8790.0720000000001</v>
      </c>
      <c r="AH157" s="274">
        <v>8815.5650000000005</v>
      </c>
      <c r="AI157" s="274">
        <v>8840.1309999999994</v>
      </c>
      <c r="AJ157" s="274">
        <v>8865.2350000000006</v>
      </c>
      <c r="AK157" s="274">
        <v>8891.2450000000008</v>
      </c>
      <c r="AL157" s="274">
        <v>8916.7129999999997</v>
      </c>
      <c r="AM157" s="274">
        <v>8939.0069999999996</v>
      </c>
      <c r="AN157" s="274">
        <v>8954.518</v>
      </c>
      <c r="AO157" s="274">
        <v>8960.3870000000006</v>
      </c>
      <c r="AP157" s="274">
        <v>8956.741</v>
      </c>
      <c r="AQ157" s="274">
        <v>8943.7209999999995</v>
      </c>
      <c r="AR157" s="274">
        <v>8918.66</v>
      </c>
      <c r="AS157" s="274">
        <v>8878.348</v>
      </c>
      <c r="AT157" s="274">
        <v>8821.1110000000008</v>
      </c>
      <c r="AU157" s="274">
        <v>8745.4079999999994</v>
      </c>
      <c r="AV157" s="274">
        <v>8653.527</v>
      </c>
      <c r="AW157" s="274">
        <v>8552.4290000000001</v>
      </c>
      <c r="AX157" s="274">
        <v>8451.6260000000002</v>
      </c>
      <c r="AY157" s="274">
        <v>8358.116</v>
      </c>
      <c r="AZ157" s="274">
        <v>8274.6620000000003</v>
      </c>
      <c r="BA157" s="274">
        <v>8199.9230000000007</v>
      </c>
      <c r="BB157" s="274">
        <v>8131.7430000000004</v>
      </c>
      <c r="BC157" s="274">
        <v>8066.2190000000001</v>
      </c>
      <c r="BD157" s="274">
        <v>8000.51</v>
      </c>
      <c r="BE157" s="274">
        <v>7934.3890000000001</v>
      </c>
      <c r="BF157" s="274">
        <v>7869.1239999999998</v>
      </c>
      <c r="BG157" s="274">
        <v>7805.0410000000002</v>
      </c>
      <c r="BH157" s="274">
        <v>7742.74</v>
      </c>
      <c r="BI157" s="274">
        <v>7682.6139999999996</v>
      </c>
      <c r="BJ157" s="274">
        <v>7624.6109999999999</v>
      </c>
      <c r="BK157" s="274">
        <v>7568.3779999999997</v>
      </c>
      <c r="BL157" s="274">
        <v>7513.6459999999997</v>
      </c>
      <c r="BM157" s="274">
        <v>7460.0569999999998</v>
      </c>
      <c r="BN157" s="274">
        <v>7407.2969999999996</v>
      </c>
      <c r="BO157" s="274">
        <v>7355.2309999999998</v>
      </c>
      <c r="BP157" s="274">
        <v>7303.741</v>
      </c>
      <c r="BQ157" s="274">
        <v>7252.5389999999998</v>
      </c>
      <c r="BR157" s="274">
        <v>7201.308</v>
      </c>
      <c r="BS157" s="274">
        <v>7149.7870000000003</v>
      </c>
    </row>
    <row r="158" spans="1:71" x14ac:dyDescent="0.4">
      <c r="A158" s="270">
        <v>139</v>
      </c>
      <c r="B158" s="271" t="s">
        <v>890</v>
      </c>
      <c r="C158" s="276" t="s">
        <v>347</v>
      </c>
      <c r="D158" s="273"/>
      <c r="E158" s="273">
        <v>203</v>
      </c>
      <c r="F158" s="274">
        <v>8902.6190000000006</v>
      </c>
      <c r="G158" s="274">
        <v>9005.0360000000001</v>
      </c>
      <c r="H158" s="274">
        <v>9106.2270000000008</v>
      </c>
      <c r="I158" s="274">
        <v>9200.24</v>
      </c>
      <c r="J158" s="274">
        <v>9283.1560000000009</v>
      </c>
      <c r="K158" s="274">
        <v>9353.0859999999993</v>
      </c>
      <c r="L158" s="274">
        <v>9410.2819999999992</v>
      </c>
      <c r="M158" s="274">
        <v>9457.027</v>
      </c>
      <c r="N158" s="274">
        <v>9497.3070000000007</v>
      </c>
      <c r="O158" s="274">
        <v>9536.268</v>
      </c>
      <c r="P158" s="274">
        <v>9578.5869999999995</v>
      </c>
      <c r="Q158" s="274">
        <v>9626.7270000000008</v>
      </c>
      <c r="R158" s="274">
        <v>9679.4159999999993</v>
      </c>
      <c r="S158" s="274">
        <v>9730.9959999999992</v>
      </c>
      <c r="T158" s="274">
        <v>9773.2659999999996</v>
      </c>
      <c r="U158" s="274">
        <v>9800.9310000000005</v>
      </c>
      <c r="V158" s="274">
        <v>9811.5400000000009</v>
      </c>
      <c r="W158" s="274">
        <v>9808.7279999999992</v>
      </c>
      <c r="X158" s="274">
        <v>9800.6650000000009</v>
      </c>
      <c r="Y158" s="274">
        <v>9798.7929999999997</v>
      </c>
      <c r="Z158" s="274">
        <v>9811.2909999999993</v>
      </c>
      <c r="AA158" s="274">
        <v>9840.2800000000007</v>
      </c>
      <c r="AB158" s="274">
        <v>9882.9930000000004</v>
      </c>
      <c r="AC158" s="274">
        <v>9936.6039999999994</v>
      </c>
      <c r="AD158" s="274">
        <v>9996.3559999999998</v>
      </c>
      <c r="AE158" s="274">
        <v>10058.165000000001</v>
      </c>
      <c r="AF158" s="274">
        <v>10122.450000000001</v>
      </c>
      <c r="AG158" s="274">
        <v>10188.839</v>
      </c>
      <c r="AH158" s="274">
        <v>10251.436</v>
      </c>
      <c r="AI158" s="274">
        <v>10302.778</v>
      </c>
      <c r="AJ158" s="274">
        <v>10337.826999999999</v>
      </c>
      <c r="AK158" s="274">
        <v>10353.75</v>
      </c>
      <c r="AL158" s="274">
        <v>10352.607</v>
      </c>
      <c r="AM158" s="274">
        <v>10340.397000000001</v>
      </c>
      <c r="AN158" s="274">
        <v>10325.923000000001</v>
      </c>
      <c r="AO158" s="274">
        <v>10315.675999999999</v>
      </c>
      <c r="AP158" s="274">
        <v>10311.35</v>
      </c>
      <c r="AQ158" s="274">
        <v>10311.293</v>
      </c>
      <c r="AR158" s="274">
        <v>10314.591</v>
      </c>
      <c r="AS158" s="274">
        <v>10319.254999999999</v>
      </c>
      <c r="AT158" s="274">
        <v>10323.700999999999</v>
      </c>
      <c r="AU158" s="274">
        <v>10328.44</v>
      </c>
      <c r="AV158" s="274">
        <v>10333.93</v>
      </c>
      <c r="AW158" s="274">
        <v>10338.380999999999</v>
      </c>
      <c r="AX158" s="274">
        <v>10339.439</v>
      </c>
      <c r="AY158" s="274">
        <v>10335.556</v>
      </c>
      <c r="AZ158" s="274">
        <v>10326.682000000001</v>
      </c>
      <c r="BA158" s="274">
        <v>10313.835999999999</v>
      </c>
      <c r="BB158" s="274">
        <v>10297.977000000001</v>
      </c>
      <c r="BC158" s="274">
        <v>10280.525</v>
      </c>
      <c r="BD158" s="274">
        <v>10263.01</v>
      </c>
      <c r="BE158" s="274">
        <v>10244.261</v>
      </c>
      <c r="BF158" s="274">
        <v>10225.198</v>
      </c>
      <c r="BG158" s="274">
        <v>10211.846</v>
      </c>
      <c r="BH158" s="274">
        <v>10212.088</v>
      </c>
      <c r="BI158" s="274">
        <v>10230.877</v>
      </c>
      <c r="BJ158" s="274">
        <v>10271.476000000001</v>
      </c>
      <c r="BK158" s="274">
        <v>10330.486999999999</v>
      </c>
      <c r="BL158" s="274">
        <v>10397.984</v>
      </c>
      <c r="BM158" s="274">
        <v>10460.022000000001</v>
      </c>
      <c r="BN158" s="274">
        <v>10506.617</v>
      </c>
      <c r="BO158" s="274">
        <v>10533.985000000001</v>
      </c>
      <c r="BP158" s="274">
        <v>10545.161</v>
      </c>
      <c r="BQ158" s="274">
        <v>10545.314</v>
      </c>
      <c r="BR158" s="274">
        <v>10542.665999999999</v>
      </c>
      <c r="BS158" s="274">
        <v>10543.186</v>
      </c>
    </row>
    <row r="159" spans="1:71" x14ac:dyDescent="0.4">
      <c r="A159" s="270">
        <v>140</v>
      </c>
      <c r="B159" s="271" t="s">
        <v>890</v>
      </c>
      <c r="C159" s="276" t="s">
        <v>450</v>
      </c>
      <c r="D159" s="273"/>
      <c r="E159" s="273">
        <v>348</v>
      </c>
      <c r="F159" s="274">
        <v>9337.723</v>
      </c>
      <c r="G159" s="274">
        <v>9478.11</v>
      </c>
      <c r="H159" s="274">
        <v>9595.2189999999991</v>
      </c>
      <c r="I159" s="274">
        <v>9691.1139999999996</v>
      </c>
      <c r="J159" s="274">
        <v>9768.1489999999994</v>
      </c>
      <c r="K159" s="274">
        <v>9828.9709999999995</v>
      </c>
      <c r="L159" s="274">
        <v>9876.5470000000005</v>
      </c>
      <c r="M159" s="274">
        <v>9914.1360000000004</v>
      </c>
      <c r="N159" s="274">
        <v>9945.1939999999995</v>
      </c>
      <c r="O159" s="274">
        <v>9973.2160000000003</v>
      </c>
      <c r="P159" s="274">
        <v>10001.27</v>
      </c>
      <c r="Q159" s="274">
        <v>10031.495999999999</v>
      </c>
      <c r="R159" s="274">
        <v>10064.666999999999</v>
      </c>
      <c r="S159" s="274">
        <v>10099.999</v>
      </c>
      <c r="T159" s="274">
        <v>10135.688</v>
      </c>
      <c r="U159" s="274">
        <v>10170.472</v>
      </c>
      <c r="V159" s="274">
        <v>10204.575000000001</v>
      </c>
      <c r="W159" s="274">
        <v>10238.93</v>
      </c>
      <c r="X159" s="274">
        <v>10273.73</v>
      </c>
      <c r="Y159" s="274">
        <v>10309.210999999999</v>
      </c>
      <c r="Z159" s="274">
        <v>10345.553</v>
      </c>
      <c r="AA159" s="274">
        <v>10381.705</v>
      </c>
      <c r="AB159" s="274">
        <v>10417.419</v>
      </c>
      <c r="AC159" s="274">
        <v>10454.502</v>
      </c>
      <c r="AD159" s="274">
        <v>10495.441999999999</v>
      </c>
      <c r="AE159" s="274">
        <v>10541.343999999999</v>
      </c>
      <c r="AF159" s="274">
        <v>10593.989</v>
      </c>
      <c r="AG159" s="274">
        <v>10650.975</v>
      </c>
      <c r="AH159" s="274">
        <v>10704.187</v>
      </c>
      <c r="AI159" s="274">
        <v>10742.694</v>
      </c>
      <c r="AJ159" s="274">
        <v>10759.022000000001</v>
      </c>
      <c r="AK159" s="274">
        <v>10750.27</v>
      </c>
      <c r="AL159" s="274">
        <v>10719.749</v>
      </c>
      <c r="AM159" s="274">
        <v>10673.963</v>
      </c>
      <c r="AN159" s="274">
        <v>10622.558999999999</v>
      </c>
      <c r="AO159" s="274">
        <v>10572.975</v>
      </c>
      <c r="AP159" s="274">
        <v>10526.561</v>
      </c>
      <c r="AQ159" s="274">
        <v>10482.364</v>
      </c>
      <c r="AR159" s="274">
        <v>10442.721</v>
      </c>
      <c r="AS159" s="274">
        <v>10409.853999999999</v>
      </c>
      <c r="AT159" s="274">
        <v>10385.061</v>
      </c>
      <c r="AU159" s="274">
        <v>10370.223</v>
      </c>
      <c r="AV159" s="274">
        <v>10364.661</v>
      </c>
      <c r="AW159" s="274">
        <v>10363.797</v>
      </c>
      <c r="AX159" s="274">
        <v>10361.134</v>
      </c>
      <c r="AY159" s="274">
        <v>10351.994000000001</v>
      </c>
      <c r="AZ159" s="274">
        <v>10334.876</v>
      </c>
      <c r="BA159" s="274">
        <v>10311.227000000001</v>
      </c>
      <c r="BB159" s="274">
        <v>10282.937</v>
      </c>
      <c r="BC159" s="274">
        <v>10253.11</v>
      </c>
      <c r="BD159" s="274">
        <v>10224.112999999999</v>
      </c>
      <c r="BE159" s="274">
        <v>10195.977999999999</v>
      </c>
      <c r="BF159" s="274">
        <v>10168.101000000001</v>
      </c>
      <c r="BG159" s="274">
        <v>10141.471</v>
      </c>
      <c r="BH159" s="274">
        <v>10117.213</v>
      </c>
      <c r="BI159" s="274">
        <v>10095.964</v>
      </c>
      <c r="BJ159" s="274">
        <v>10078.460999999999</v>
      </c>
      <c r="BK159" s="274">
        <v>10064.138000000001</v>
      </c>
      <c r="BL159" s="274">
        <v>10050.699000000001</v>
      </c>
      <c r="BM159" s="274">
        <v>10034.950999999999</v>
      </c>
      <c r="BN159" s="274">
        <v>10014.633</v>
      </c>
      <c r="BO159" s="274">
        <v>9988.8459999999995</v>
      </c>
      <c r="BP159" s="274">
        <v>9958.3340000000007</v>
      </c>
      <c r="BQ159" s="274">
        <v>9924.5069999999996</v>
      </c>
      <c r="BR159" s="274">
        <v>9889.5400000000009</v>
      </c>
      <c r="BS159" s="274">
        <v>9855.0229999999992</v>
      </c>
    </row>
    <row r="160" spans="1:71" x14ac:dyDescent="0.4">
      <c r="A160" s="270">
        <v>141</v>
      </c>
      <c r="B160" s="271" t="s">
        <v>890</v>
      </c>
      <c r="C160" s="276" t="s">
        <v>664</v>
      </c>
      <c r="D160" s="273"/>
      <c r="E160" s="273">
        <v>616</v>
      </c>
      <c r="F160" s="274">
        <v>24824.012999999999</v>
      </c>
      <c r="G160" s="274">
        <v>25264.028999999999</v>
      </c>
      <c r="H160" s="274">
        <v>25738.253000000001</v>
      </c>
      <c r="I160" s="274">
        <v>26236.679</v>
      </c>
      <c r="J160" s="274">
        <v>26750.026000000002</v>
      </c>
      <c r="K160" s="274">
        <v>27269.744999999999</v>
      </c>
      <c r="L160" s="274">
        <v>27787.996999999999</v>
      </c>
      <c r="M160" s="274">
        <v>28297.669000000002</v>
      </c>
      <c r="N160" s="274">
        <v>28792.427</v>
      </c>
      <c r="O160" s="274">
        <v>29266.789000000001</v>
      </c>
      <c r="P160" s="274">
        <v>29716.363000000001</v>
      </c>
      <c r="Q160" s="274">
        <v>30138.098999999998</v>
      </c>
      <c r="R160" s="274">
        <v>30530.512999999999</v>
      </c>
      <c r="S160" s="274">
        <v>30893.775000000001</v>
      </c>
      <c r="T160" s="274">
        <v>31229.448</v>
      </c>
      <c r="U160" s="274">
        <v>31539.695</v>
      </c>
      <c r="V160" s="274">
        <v>31824.145</v>
      </c>
      <c r="W160" s="274">
        <v>32085.010999999999</v>
      </c>
      <c r="X160" s="274">
        <v>32330.581999999999</v>
      </c>
      <c r="Y160" s="274">
        <v>32571.672999999999</v>
      </c>
      <c r="Z160" s="274">
        <v>32816.750999999997</v>
      </c>
      <c r="AA160" s="274">
        <v>33068.997000000003</v>
      </c>
      <c r="AB160" s="274">
        <v>33328.713000000003</v>
      </c>
      <c r="AC160" s="274">
        <v>33597.81</v>
      </c>
      <c r="AD160" s="274">
        <v>33877.396999999997</v>
      </c>
      <c r="AE160" s="274">
        <v>34168.112000000001</v>
      </c>
      <c r="AF160" s="274">
        <v>34468.877</v>
      </c>
      <c r="AG160" s="274">
        <v>34779.313000000002</v>
      </c>
      <c r="AH160" s="274">
        <v>35100.942000000003</v>
      </c>
      <c r="AI160" s="274">
        <v>35435.627</v>
      </c>
      <c r="AJ160" s="274">
        <v>35782.855000000003</v>
      </c>
      <c r="AK160" s="274">
        <v>36145.211000000003</v>
      </c>
      <c r="AL160" s="274">
        <v>36517.072</v>
      </c>
      <c r="AM160" s="274">
        <v>36879.741999999998</v>
      </c>
      <c r="AN160" s="274">
        <v>37208.529000000002</v>
      </c>
      <c r="AO160" s="274">
        <v>37486.105000000003</v>
      </c>
      <c r="AP160" s="274">
        <v>37703.942000000003</v>
      </c>
      <c r="AQ160" s="274">
        <v>37867.481</v>
      </c>
      <c r="AR160" s="274">
        <v>37990.682999999997</v>
      </c>
      <c r="AS160" s="274">
        <v>38094.811999999998</v>
      </c>
      <c r="AT160" s="274">
        <v>38195.258000000002</v>
      </c>
      <c r="AU160" s="274">
        <v>38297.548999999999</v>
      </c>
      <c r="AV160" s="274">
        <v>38396.826000000001</v>
      </c>
      <c r="AW160" s="274">
        <v>38485.892</v>
      </c>
      <c r="AX160" s="274">
        <v>38553.355000000003</v>
      </c>
      <c r="AY160" s="274">
        <v>38591.86</v>
      </c>
      <c r="AZ160" s="274">
        <v>38599.824999999997</v>
      </c>
      <c r="BA160" s="274">
        <v>38583.108999999997</v>
      </c>
      <c r="BB160" s="274">
        <v>38550.777000000002</v>
      </c>
      <c r="BC160" s="274">
        <v>38515.358999999997</v>
      </c>
      <c r="BD160" s="274">
        <v>38486.305</v>
      </c>
      <c r="BE160" s="274">
        <v>38466.542999999998</v>
      </c>
      <c r="BF160" s="274">
        <v>38454.822999999997</v>
      </c>
      <c r="BG160" s="274">
        <v>38451.226999999999</v>
      </c>
      <c r="BH160" s="274">
        <v>38454.519999999997</v>
      </c>
      <c r="BI160" s="274">
        <v>38463.514000000003</v>
      </c>
      <c r="BJ160" s="274">
        <v>38478.762999999999</v>
      </c>
      <c r="BK160" s="274">
        <v>38500.356</v>
      </c>
      <c r="BL160" s="274">
        <v>38525.752</v>
      </c>
      <c r="BM160" s="274">
        <v>38551.489000000001</v>
      </c>
      <c r="BN160" s="274">
        <v>38574.682000000001</v>
      </c>
      <c r="BO160" s="274">
        <v>38594.216999999997</v>
      </c>
      <c r="BP160" s="274">
        <v>38609.485999999997</v>
      </c>
      <c r="BQ160" s="274">
        <v>38618.697999999997</v>
      </c>
      <c r="BR160" s="274">
        <v>38619.974000000002</v>
      </c>
      <c r="BS160" s="274">
        <v>38611.794000000002</v>
      </c>
    </row>
    <row r="161" spans="1:71" x14ac:dyDescent="0.4">
      <c r="A161" s="270">
        <v>142</v>
      </c>
      <c r="B161" s="271" t="s">
        <v>890</v>
      </c>
      <c r="C161" s="276" t="s">
        <v>678</v>
      </c>
      <c r="D161" s="273">
        <v>13</v>
      </c>
      <c r="E161" s="273">
        <v>498</v>
      </c>
      <c r="F161" s="274">
        <v>2341.0030000000002</v>
      </c>
      <c r="G161" s="274">
        <v>2381.4430000000002</v>
      </c>
      <c r="H161" s="274">
        <v>2432.096</v>
      </c>
      <c r="I161" s="274">
        <v>2491.0680000000002</v>
      </c>
      <c r="J161" s="274">
        <v>2556.5880000000002</v>
      </c>
      <c r="K161" s="274">
        <v>2627.0070000000001</v>
      </c>
      <c r="L161" s="274">
        <v>2700.7959999999998</v>
      </c>
      <c r="M161" s="274">
        <v>2776.5520000000001</v>
      </c>
      <c r="N161" s="274">
        <v>2852.9949999999999</v>
      </c>
      <c r="O161" s="274">
        <v>2928.9870000000001</v>
      </c>
      <c r="P161" s="274">
        <v>3003.5569999999998</v>
      </c>
      <c r="Q161" s="274">
        <v>3075.9270000000001</v>
      </c>
      <c r="R161" s="274">
        <v>3145.5459999999998</v>
      </c>
      <c r="S161" s="274">
        <v>3212.0940000000001</v>
      </c>
      <c r="T161" s="274">
        <v>3275.4569999999999</v>
      </c>
      <c r="U161" s="274">
        <v>3335.625</v>
      </c>
      <c r="V161" s="274">
        <v>3392.0839999999998</v>
      </c>
      <c r="W161" s="274">
        <v>3444.85</v>
      </c>
      <c r="X161" s="274">
        <v>3495.134</v>
      </c>
      <c r="Y161" s="274">
        <v>3544.6350000000002</v>
      </c>
      <c r="Z161" s="274">
        <v>3594.5160000000001</v>
      </c>
      <c r="AA161" s="274">
        <v>3645.5149999999999</v>
      </c>
      <c r="AB161" s="274">
        <v>3697.1529999999998</v>
      </c>
      <c r="AC161" s="274">
        <v>3747.9250000000002</v>
      </c>
      <c r="AD161" s="274">
        <v>3795.6529999999998</v>
      </c>
      <c r="AE161" s="274">
        <v>3838.9110000000001</v>
      </c>
      <c r="AF161" s="274">
        <v>3876.9470000000001</v>
      </c>
      <c r="AG161" s="274">
        <v>3910.636</v>
      </c>
      <c r="AH161" s="274">
        <v>3942.1410000000001</v>
      </c>
      <c r="AI161" s="274">
        <v>3974.5059999999999</v>
      </c>
      <c r="AJ161" s="274">
        <v>4009.8429999999998</v>
      </c>
      <c r="AK161" s="274">
        <v>4048.6170000000002</v>
      </c>
      <c r="AL161" s="274">
        <v>4089.86</v>
      </c>
      <c r="AM161" s="274">
        <v>4132.4399999999996</v>
      </c>
      <c r="AN161" s="274">
        <v>4174.6210000000001</v>
      </c>
      <c r="AO161" s="274">
        <v>4214.9110000000001</v>
      </c>
      <c r="AP161" s="274">
        <v>4253.1620000000003</v>
      </c>
      <c r="AQ161" s="274">
        <v>4289.0990000000002</v>
      </c>
      <c r="AR161" s="274">
        <v>4320.9269999999997</v>
      </c>
      <c r="AS161" s="274">
        <v>4346.4489999999996</v>
      </c>
      <c r="AT161" s="274">
        <v>4364.1139999999996</v>
      </c>
      <c r="AU161" s="274">
        <v>4373.5820000000003</v>
      </c>
      <c r="AV161" s="274">
        <v>4375.3119999999999</v>
      </c>
      <c r="AW161" s="274">
        <v>4369.6490000000003</v>
      </c>
      <c r="AX161" s="274">
        <v>4357.2830000000004</v>
      </c>
      <c r="AY161" s="274">
        <v>4339.0820000000003</v>
      </c>
      <c r="AZ161" s="274">
        <v>4314.6930000000002</v>
      </c>
      <c r="BA161" s="274">
        <v>4284.9309999999996</v>
      </c>
      <c r="BB161" s="274">
        <v>4253.28</v>
      </c>
      <c r="BC161" s="274">
        <v>4224.2700000000004</v>
      </c>
      <c r="BD161" s="274">
        <v>4201.0879999999997</v>
      </c>
      <c r="BE161" s="274">
        <v>4185.5129999999999</v>
      </c>
      <c r="BF161" s="274">
        <v>4176.6469999999999</v>
      </c>
      <c r="BG161" s="274">
        <v>4171.6859999999997</v>
      </c>
      <c r="BH161" s="274">
        <v>4166.3710000000001</v>
      </c>
      <c r="BI161" s="274">
        <v>4157.7070000000003</v>
      </c>
      <c r="BJ161" s="274">
        <v>4144.6509999999998</v>
      </c>
      <c r="BK161" s="274">
        <v>4128.4589999999998</v>
      </c>
      <c r="BL161" s="274">
        <v>4111.1679999999997</v>
      </c>
      <c r="BM161" s="274">
        <v>4095.8130000000001</v>
      </c>
      <c r="BN161" s="274">
        <v>4084.4830000000002</v>
      </c>
      <c r="BO161" s="274">
        <v>4077.8110000000001</v>
      </c>
      <c r="BP161" s="274">
        <v>4074.7539999999999</v>
      </c>
      <c r="BQ161" s="274">
        <v>4073.7139999999999</v>
      </c>
      <c r="BR161" s="274">
        <v>4072.34</v>
      </c>
      <c r="BS161" s="274">
        <v>4068.8969999999999</v>
      </c>
    </row>
    <row r="162" spans="1:71" x14ac:dyDescent="0.4">
      <c r="A162" s="270">
        <v>143</v>
      </c>
      <c r="B162" s="271" t="s">
        <v>890</v>
      </c>
      <c r="C162" s="276" t="s">
        <v>682</v>
      </c>
      <c r="D162" s="273"/>
      <c r="E162" s="273">
        <v>642</v>
      </c>
      <c r="F162" s="274">
        <v>16236.291999999999</v>
      </c>
      <c r="G162" s="274">
        <v>16512.671999999999</v>
      </c>
      <c r="H162" s="274">
        <v>16764.919999999998</v>
      </c>
      <c r="I162" s="274">
        <v>17005.724999999999</v>
      </c>
      <c r="J162" s="274">
        <v>17243.807000000001</v>
      </c>
      <c r="K162" s="274">
        <v>17483.911</v>
      </c>
      <c r="L162" s="274">
        <v>17726.583999999999</v>
      </c>
      <c r="M162" s="274">
        <v>17968.397000000001</v>
      </c>
      <c r="N162" s="274">
        <v>18202.623</v>
      </c>
      <c r="O162" s="274">
        <v>18420.348000000002</v>
      </c>
      <c r="P162" s="274">
        <v>18613.834999999999</v>
      </c>
      <c r="Q162" s="274">
        <v>18780.105</v>
      </c>
      <c r="R162" s="274">
        <v>18924.067999999999</v>
      </c>
      <c r="S162" s="274">
        <v>19059.874</v>
      </c>
      <c r="T162" s="274">
        <v>19207.098000000002</v>
      </c>
      <c r="U162" s="274">
        <v>19379.554</v>
      </c>
      <c r="V162" s="274">
        <v>19582.342000000001</v>
      </c>
      <c r="W162" s="274">
        <v>19810.623</v>
      </c>
      <c r="X162" s="274">
        <v>20055.983</v>
      </c>
      <c r="Y162" s="274">
        <v>20305.391</v>
      </c>
      <c r="Z162" s="274">
        <v>20549.016</v>
      </c>
      <c r="AA162" s="274">
        <v>20783.864000000001</v>
      </c>
      <c r="AB162" s="274">
        <v>21011.826000000001</v>
      </c>
      <c r="AC162" s="274">
        <v>21233.593000000001</v>
      </c>
      <c r="AD162" s="274">
        <v>21451.256000000001</v>
      </c>
      <c r="AE162" s="274">
        <v>21665.78</v>
      </c>
      <c r="AF162" s="274">
        <v>21877.547999999999</v>
      </c>
      <c r="AG162" s="274">
        <v>22083.933000000001</v>
      </c>
      <c r="AH162" s="274">
        <v>22279.485000000001</v>
      </c>
      <c r="AI162" s="274">
        <v>22457.125</v>
      </c>
      <c r="AJ162" s="274">
        <v>22612.149000000001</v>
      </c>
      <c r="AK162" s="274">
        <v>22739.965</v>
      </c>
      <c r="AL162" s="274">
        <v>22842.425999999999</v>
      </c>
      <c r="AM162" s="274">
        <v>22928.995999999999</v>
      </c>
      <c r="AN162" s="274">
        <v>23013.19</v>
      </c>
      <c r="AO162" s="274">
        <v>23103.636999999999</v>
      </c>
      <c r="AP162" s="274">
        <v>23205.267</v>
      </c>
      <c r="AQ162" s="274">
        <v>23312.044999999998</v>
      </c>
      <c r="AR162" s="274">
        <v>23408.397000000001</v>
      </c>
      <c r="AS162" s="274">
        <v>23472.562000000002</v>
      </c>
      <c r="AT162" s="274">
        <v>23489.361000000001</v>
      </c>
      <c r="AU162" s="274">
        <v>23454.143</v>
      </c>
      <c r="AV162" s="274">
        <v>23373.154999999999</v>
      </c>
      <c r="AW162" s="274">
        <v>23255.683000000001</v>
      </c>
      <c r="AX162" s="274">
        <v>23115.920999999998</v>
      </c>
      <c r="AY162" s="274">
        <v>22965.125</v>
      </c>
      <c r="AZ162" s="274">
        <v>22804.526000000002</v>
      </c>
      <c r="BA162" s="274">
        <v>22633.398000000001</v>
      </c>
      <c r="BB162" s="274">
        <v>22458.737000000001</v>
      </c>
      <c r="BC162" s="274">
        <v>22288.573</v>
      </c>
      <c r="BD162" s="274">
        <v>22128.138999999999</v>
      </c>
      <c r="BE162" s="274">
        <v>21983.221000000001</v>
      </c>
      <c r="BF162" s="274">
        <v>21851.988000000001</v>
      </c>
      <c r="BG162" s="274">
        <v>21722.664000000001</v>
      </c>
      <c r="BH162" s="274">
        <v>21578.317999999999</v>
      </c>
      <c r="BI162" s="274">
        <v>21407.618999999999</v>
      </c>
      <c r="BJ162" s="274">
        <v>21205.976999999999</v>
      </c>
      <c r="BK162" s="274">
        <v>20979.707999999999</v>
      </c>
      <c r="BL162" s="274">
        <v>20741.669000000002</v>
      </c>
      <c r="BM162" s="274">
        <v>20510.262999999999</v>
      </c>
      <c r="BN162" s="274">
        <v>20298.838</v>
      </c>
      <c r="BO162" s="274">
        <v>20111.664000000001</v>
      </c>
      <c r="BP162" s="274">
        <v>19944.954000000002</v>
      </c>
      <c r="BQ162" s="274">
        <v>19794.163</v>
      </c>
      <c r="BR162" s="274">
        <v>19651.554</v>
      </c>
      <c r="BS162" s="274">
        <v>19511.324000000001</v>
      </c>
    </row>
    <row r="163" spans="1:71" x14ac:dyDescent="0.4">
      <c r="A163" s="270">
        <v>144</v>
      </c>
      <c r="B163" s="271" t="s">
        <v>890</v>
      </c>
      <c r="C163" s="276" t="s">
        <v>686</v>
      </c>
      <c r="D163" s="273"/>
      <c r="E163" s="273">
        <v>643</v>
      </c>
      <c r="F163" s="274">
        <v>102798.65700000001</v>
      </c>
      <c r="G163" s="274">
        <v>104306.35400000001</v>
      </c>
      <c r="H163" s="274">
        <v>105969.442</v>
      </c>
      <c r="I163" s="274">
        <v>107729.541</v>
      </c>
      <c r="J163" s="274">
        <v>109537.868</v>
      </c>
      <c r="K163" s="274">
        <v>111355.224</v>
      </c>
      <c r="L163" s="274">
        <v>113152.34699999999</v>
      </c>
      <c r="M163" s="274">
        <v>114909.56200000001</v>
      </c>
      <c r="N163" s="274">
        <v>116615.781</v>
      </c>
      <c r="O163" s="274">
        <v>118266.807</v>
      </c>
      <c r="P163" s="274">
        <v>119860.289</v>
      </c>
      <c r="Q163" s="274">
        <v>121390.327</v>
      </c>
      <c r="R163" s="274">
        <v>122842.753</v>
      </c>
      <c r="S163" s="274">
        <v>124193.114</v>
      </c>
      <c r="T163" s="274">
        <v>125412.397</v>
      </c>
      <c r="U163" s="274">
        <v>126483.874</v>
      </c>
      <c r="V163" s="274">
        <v>127396.32399999999</v>
      </c>
      <c r="W163" s="274">
        <v>128165.823</v>
      </c>
      <c r="X163" s="274">
        <v>128837.792</v>
      </c>
      <c r="Y163" s="274">
        <v>129475.269</v>
      </c>
      <c r="Z163" s="274">
        <v>130126.383</v>
      </c>
      <c r="AA163" s="274">
        <v>130808.492</v>
      </c>
      <c r="AB163" s="274">
        <v>131517.584</v>
      </c>
      <c r="AC163" s="274">
        <v>132254.36199999999</v>
      </c>
      <c r="AD163" s="274">
        <v>133012.55799999999</v>
      </c>
      <c r="AE163" s="274">
        <v>133788.11300000001</v>
      </c>
      <c r="AF163" s="274">
        <v>134583.94500000001</v>
      </c>
      <c r="AG163" s="274">
        <v>135406.78599999999</v>
      </c>
      <c r="AH163" s="274">
        <v>136259.51699999999</v>
      </c>
      <c r="AI163" s="274">
        <v>137144.80799999999</v>
      </c>
      <c r="AJ163" s="274">
        <v>138063.06200000001</v>
      </c>
      <c r="AK163" s="274">
        <v>139006.739</v>
      </c>
      <c r="AL163" s="274">
        <v>139969.24299999999</v>
      </c>
      <c r="AM163" s="274">
        <v>140951.4</v>
      </c>
      <c r="AN163" s="274">
        <v>141955.20000000001</v>
      </c>
      <c r="AO163" s="274">
        <v>142975.753</v>
      </c>
      <c r="AP163" s="274">
        <v>144016.095</v>
      </c>
      <c r="AQ163" s="274">
        <v>145056.22099999999</v>
      </c>
      <c r="AR163" s="274">
        <v>146040.11600000001</v>
      </c>
      <c r="AS163" s="274">
        <v>146895.05300000001</v>
      </c>
      <c r="AT163" s="274">
        <v>147568.552</v>
      </c>
      <c r="AU163" s="274">
        <v>148040.35399999999</v>
      </c>
      <c r="AV163" s="274">
        <v>148322.473</v>
      </c>
      <c r="AW163" s="274">
        <v>148435.81099999999</v>
      </c>
      <c r="AX163" s="274">
        <v>148416.29199999999</v>
      </c>
      <c r="AY163" s="274">
        <v>148293.26500000001</v>
      </c>
      <c r="AZ163" s="274">
        <v>148078.35500000001</v>
      </c>
      <c r="BA163" s="274">
        <v>147772.80499999999</v>
      </c>
      <c r="BB163" s="274">
        <v>147385.44</v>
      </c>
      <c r="BC163" s="274">
        <v>146924.174</v>
      </c>
      <c r="BD163" s="274">
        <v>146400.951</v>
      </c>
      <c r="BE163" s="274">
        <v>145818.12100000001</v>
      </c>
      <c r="BF163" s="274">
        <v>145195.52100000001</v>
      </c>
      <c r="BG163" s="274">
        <v>144583.147</v>
      </c>
      <c r="BH163" s="274">
        <v>144043.91399999999</v>
      </c>
      <c r="BI163" s="274">
        <v>143622.56599999999</v>
      </c>
      <c r="BJ163" s="274">
        <v>143338.40700000001</v>
      </c>
      <c r="BK163" s="274">
        <v>143180.24900000001</v>
      </c>
      <c r="BL163" s="274">
        <v>143123.163</v>
      </c>
      <c r="BM163" s="274">
        <v>143126.66</v>
      </c>
      <c r="BN163" s="274">
        <v>143158.09899999999</v>
      </c>
      <c r="BO163" s="274">
        <v>143211.476</v>
      </c>
      <c r="BP163" s="274">
        <v>143287.53599999999</v>
      </c>
      <c r="BQ163" s="274">
        <v>143367.34099999999</v>
      </c>
      <c r="BR163" s="274">
        <v>143429.435</v>
      </c>
      <c r="BS163" s="274">
        <v>143456.91800000001</v>
      </c>
    </row>
    <row r="164" spans="1:71" x14ac:dyDescent="0.4">
      <c r="A164" s="270">
        <v>145</v>
      </c>
      <c r="B164" s="271" t="s">
        <v>890</v>
      </c>
      <c r="C164" s="276" t="s">
        <v>731</v>
      </c>
      <c r="D164" s="273"/>
      <c r="E164" s="273">
        <v>703</v>
      </c>
      <c r="F164" s="274">
        <v>3436.5740000000001</v>
      </c>
      <c r="G164" s="274">
        <v>3509.9569999999999</v>
      </c>
      <c r="H164" s="274">
        <v>3585.96</v>
      </c>
      <c r="I164" s="274">
        <v>3662.7069999999999</v>
      </c>
      <c r="J164" s="274">
        <v>3738.674</v>
      </c>
      <c r="K164" s="274">
        <v>3812.6959999999999</v>
      </c>
      <c r="L164" s="274">
        <v>3883.9769999999999</v>
      </c>
      <c r="M164" s="274">
        <v>3952.08</v>
      </c>
      <c r="N164" s="274">
        <v>4016.8850000000002</v>
      </c>
      <c r="O164" s="274">
        <v>4078.5309999999999</v>
      </c>
      <c r="P164" s="274">
        <v>4137.2240000000002</v>
      </c>
      <c r="Q164" s="274">
        <v>4193.0349999999999</v>
      </c>
      <c r="R164" s="274">
        <v>4245.7259999999997</v>
      </c>
      <c r="S164" s="274">
        <v>4294.6729999999998</v>
      </c>
      <c r="T164" s="274">
        <v>4339.0820000000003</v>
      </c>
      <c r="U164" s="274">
        <v>4378.6130000000003</v>
      </c>
      <c r="V164" s="274">
        <v>4412.9070000000002</v>
      </c>
      <c r="W164" s="274">
        <v>4442.799</v>
      </c>
      <c r="X164" s="274">
        <v>4470.6319999999996</v>
      </c>
      <c r="Y164" s="274">
        <v>4499.5540000000001</v>
      </c>
      <c r="Z164" s="274">
        <v>4531.8739999999998</v>
      </c>
      <c r="AA164" s="274">
        <v>4568.2740000000003</v>
      </c>
      <c r="AB164" s="274">
        <v>4608.2659999999996</v>
      </c>
      <c r="AC164" s="274">
        <v>4651.4930000000004</v>
      </c>
      <c r="AD164" s="274">
        <v>4697.1530000000002</v>
      </c>
      <c r="AE164" s="274">
        <v>4744.482</v>
      </c>
      <c r="AF164" s="274">
        <v>4793.6329999999998</v>
      </c>
      <c r="AG164" s="274">
        <v>4844.3919999999998</v>
      </c>
      <c r="AH164" s="274">
        <v>4895.13</v>
      </c>
      <c r="AI164" s="274">
        <v>4943.732</v>
      </c>
      <c r="AJ164" s="274">
        <v>4988.6540000000005</v>
      </c>
      <c r="AK164" s="274">
        <v>5029.2079999999996</v>
      </c>
      <c r="AL164" s="274">
        <v>5065.6580000000004</v>
      </c>
      <c r="AM164" s="274">
        <v>5098.607</v>
      </c>
      <c r="AN164" s="274">
        <v>5129.1080000000002</v>
      </c>
      <c r="AO164" s="274">
        <v>5157.9589999999998</v>
      </c>
      <c r="AP164" s="274">
        <v>5185.1570000000002</v>
      </c>
      <c r="AQ164" s="274">
        <v>5210.451</v>
      </c>
      <c r="AR164" s="274">
        <v>5234.1189999999997</v>
      </c>
      <c r="AS164" s="274">
        <v>5256.4750000000004</v>
      </c>
      <c r="AT164" s="274">
        <v>5277.7089999999998</v>
      </c>
      <c r="AU164" s="274">
        <v>5298.08</v>
      </c>
      <c r="AV164" s="274">
        <v>5317.48</v>
      </c>
      <c r="AW164" s="274">
        <v>5335.2920000000004</v>
      </c>
      <c r="AX164" s="274">
        <v>5350.643</v>
      </c>
      <c r="AY164" s="274">
        <v>5362.95</v>
      </c>
      <c r="AZ164" s="274">
        <v>5372.1149999999998</v>
      </c>
      <c r="BA164" s="274">
        <v>5378.49</v>
      </c>
      <c r="BB164" s="274">
        <v>5382.5209999999997</v>
      </c>
      <c r="BC164" s="274">
        <v>5384.857</v>
      </c>
      <c r="BD164" s="274">
        <v>5386.0649999999996</v>
      </c>
      <c r="BE164" s="274">
        <v>5386.2240000000002</v>
      </c>
      <c r="BF164" s="274">
        <v>5385.48</v>
      </c>
      <c r="BG164" s="274">
        <v>5384.5330000000004</v>
      </c>
      <c r="BH164" s="274">
        <v>5384.2370000000001</v>
      </c>
      <c r="BI164" s="274">
        <v>5385.192</v>
      </c>
      <c r="BJ164" s="274">
        <v>5387.7340000000004</v>
      </c>
      <c r="BK164" s="274">
        <v>5391.7280000000001</v>
      </c>
      <c r="BL164" s="274">
        <v>5396.71</v>
      </c>
      <c r="BM164" s="274">
        <v>5401.951</v>
      </c>
      <c r="BN164" s="274">
        <v>5406.8959999999997</v>
      </c>
      <c r="BO164" s="274">
        <v>5411.3770000000004</v>
      </c>
      <c r="BP164" s="274">
        <v>5415.4960000000001</v>
      </c>
      <c r="BQ164" s="274">
        <v>5419.2879999999996</v>
      </c>
      <c r="BR164" s="274">
        <v>5422.8609999999999</v>
      </c>
      <c r="BS164" s="274">
        <v>5426.2579999999998</v>
      </c>
    </row>
    <row r="165" spans="1:71" x14ac:dyDescent="0.4">
      <c r="A165" s="270">
        <v>146</v>
      </c>
      <c r="B165" s="271" t="s">
        <v>890</v>
      </c>
      <c r="C165" s="276" t="s">
        <v>827</v>
      </c>
      <c r="D165" s="273">
        <v>14</v>
      </c>
      <c r="E165" s="273">
        <v>804</v>
      </c>
      <c r="F165" s="274">
        <v>37297.652000000002</v>
      </c>
      <c r="G165" s="274">
        <v>37815.815000000002</v>
      </c>
      <c r="H165" s="274">
        <v>38360.510999999999</v>
      </c>
      <c r="I165" s="274">
        <v>38916.264999999999</v>
      </c>
      <c r="J165" s="274">
        <v>39471.682000000001</v>
      </c>
      <c r="K165" s="274">
        <v>40019.446000000004</v>
      </c>
      <c r="L165" s="274">
        <v>40556.527999999998</v>
      </c>
      <c r="M165" s="274">
        <v>41083.978000000003</v>
      </c>
      <c r="N165" s="274">
        <v>41606.286</v>
      </c>
      <c r="O165" s="274">
        <v>42130.322</v>
      </c>
      <c r="P165" s="274">
        <v>42662.15</v>
      </c>
      <c r="Q165" s="274">
        <v>43203.635000000002</v>
      </c>
      <c r="R165" s="274">
        <v>43749.468999999997</v>
      </c>
      <c r="S165" s="274">
        <v>44285.896999999997</v>
      </c>
      <c r="T165" s="274">
        <v>44794.324999999997</v>
      </c>
      <c r="U165" s="274">
        <v>45261.938999999998</v>
      </c>
      <c r="V165" s="274">
        <v>45682.313999999998</v>
      </c>
      <c r="W165" s="274">
        <v>46060.455999999998</v>
      </c>
      <c r="X165" s="274">
        <v>46409.006999999998</v>
      </c>
      <c r="Y165" s="274">
        <v>46746.667999999998</v>
      </c>
      <c r="Z165" s="274">
        <v>47086.758000000002</v>
      </c>
      <c r="AA165" s="274">
        <v>47433.807000000001</v>
      </c>
      <c r="AB165" s="274">
        <v>47783.012999999999</v>
      </c>
      <c r="AC165" s="274">
        <v>48127.17</v>
      </c>
      <c r="AD165" s="274">
        <v>48455.12</v>
      </c>
      <c r="AE165" s="274">
        <v>48758.985999999997</v>
      </c>
      <c r="AF165" s="274">
        <v>49036.201999999997</v>
      </c>
      <c r="AG165" s="274">
        <v>49290.087</v>
      </c>
      <c r="AH165" s="274">
        <v>49525.597000000002</v>
      </c>
      <c r="AI165" s="274">
        <v>49750.15</v>
      </c>
      <c r="AJ165" s="274">
        <v>49968.811000000002</v>
      </c>
      <c r="AK165" s="274">
        <v>50181.709000000003</v>
      </c>
      <c r="AL165" s="274">
        <v>50385.836000000003</v>
      </c>
      <c r="AM165" s="274">
        <v>50579.135000000002</v>
      </c>
      <c r="AN165" s="274">
        <v>50758.512000000002</v>
      </c>
      <c r="AO165" s="274">
        <v>50920.777999999998</v>
      </c>
      <c r="AP165" s="274">
        <v>51063.97</v>
      </c>
      <c r="AQ165" s="274">
        <v>51185.553999999996</v>
      </c>
      <c r="AR165" s="274">
        <v>51280.766000000003</v>
      </c>
      <c r="AS165" s="274">
        <v>51343.974000000002</v>
      </c>
      <c r="AT165" s="274">
        <v>51370.008999999998</v>
      </c>
      <c r="AU165" s="274">
        <v>51360.72</v>
      </c>
      <c r="AV165" s="274">
        <v>51314.080000000002</v>
      </c>
      <c r="AW165" s="274">
        <v>51216.987999999998</v>
      </c>
      <c r="AX165" s="274">
        <v>51052.752</v>
      </c>
      <c r="AY165" s="274">
        <v>50811.673000000003</v>
      </c>
      <c r="AZ165" s="274">
        <v>50489.565999999999</v>
      </c>
      <c r="BA165" s="274">
        <v>50096.497000000003</v>
      </c>
      <c r="BB165" s="274">
        <v>49655.175000000003</v>
      </c>
      <c r="BC165" s="274">
        <v>49196.894999999997</v>
      </c>
      <c r="BD165" s="274">
        <v>48746.269</v>
      </c>
      <c r="BE165" s="274">
        <v>48310.815999999999</v>
      </c>
      <c r="BF165" s="274">
        <v>47890.646999999997</v>
      </c>
      <c r="BG165" s="274">
        <v>47493.771000000001</v>
      </c>
      <c r="BH165" s="274">
        <v>47127.11</v>
      </c>
      <c r="BI165" s="274">
        <v>46795.313000000002</v>
      </c>
      <c r="BJ165" s="274">
        <v>46502.718000000001</v>
      </c>
      <c r="BK165" s="274">
        <v>46249.196000000004</v>
      </c>
      <c r="BL165" s="274">
        <v>46028.476000000002</v>
      </c>
      <c r="BM165" s="274">
        <v>45830.711000000003</v>
      </c>
      <c r="BN165" s="274">
        <v>45647.497000000003</v>
      </c>
      <c r="BO165" s="274">
        <v>45477.69</v>
      </c>
      <c r="BP165" s="274">
        <v>45319.949000000001</v>
      </c>
      <c r="BQ165" s="274">
        <v>45165.211000000003</v>
      </c>
      <c r="BR165" s="274">
        <v>45002.497000000003</v>
      </c>
      <c r="BS165" s="274">
        <v>44823.764999999999</v>
      </c>
    </row>
    <row r="166" spans="1:71" x14ac:dyDescent="0.4">
      <c r="A166" s="270">
        <v>147</v>
      </c>
      <c r="B166" s="271" t="s">
        <v>890</v>
      </c>
      <c r="C166" s="277" t="s">
        <v>933</v>
      </c>
      <c r="D166" s="273"/>
      <c r="E166" s="273">
        <v>924</v>
      </c>
      <c r="F166" s="274">
        <v>78029.913</v>
      </c>
      <c r="G166" s="274">
        <v>78244.728000000003</v>
      </c>
      <c r="H166" s="274">
        <v>78513.938999999998</v>
      </c>
      <c r="I166" s="274">
        <v>78823.502999999997</v>
      </c>
      <c r="J166" s="274">
        <v>79163.479000000007</v>
      </c>
      <c r="K166" s="274">
        <v>79528.03</v>
      </c>
      <c r="L166" s="274">
        <v>79915.675000000003</v>
      </c>
      <c r="M166" s="274">
        <v>80329.040999999997</v>
      </c>
      <c r="N166" s="274">
        <v>80774.089000000007</v>
      </c>
      <c r="O166" s="274">
        <v>81258.868000000002</v>
      </c>
      <c r="P166" s="274">
        <v>81789.691000000006</v>
      </c>
      <c r="Q166" s="274">
        <v>82367.106</v>
      </c>
      <c r="R166" s="274">
        <v>82982.331999999995</v>
      </c>
      <c r="S166" s="274">
        <v>83615.739000000001</v>
      </c>
      <c r="T166" s="274">
        <v>84241.172000000006</v>
      </c>
      <c r="U166" s="274">
        <v>84838.599000000002</v>
      </c>
      <c r="V166" s="274">
        <v>85399.87</v>
      </c>
      <c r="W166" s="274">
        <v>85925.804000000004</v>
      </c>
      <c r="X166" s="274">
        <v>86416.491999999998</v>
      </c>
      <c r="Y166" s="274">
        <v>86875.317999999999</v>
      </c>
      <c r="Z166" s="274">
        <v>87304.615000000005</v>
      </c>
      <c r="AA166" s="274">
        <v>87703.968999999997</v>
      </c>
      <c r="AB166" s="274">
        <v>88070.706999999995</v>
      </c>
      <c r="AC166" s="274">
        <v>88402.953999999998</v>
      </c>
      <c r="AD166" s="274">
        <v>88698.559999999998</v>
      </c>
      <c r="AE166" s="274">
        <v>88957.153000000006</v>
      </c>
      <c r="AF166" s="274">
        <v>89179.445000000007</v>
      </c>
      <c r="AG166" s="274">
        <v>89369.63</v>
      </c>
      <c r="AH166" s="274">
        <v>89535.472999999998</v>
      </c>
      <c r="AI166" s="274">
        <v>89687.078999999998</v>
      </c>
      <c r="AJ166" s="274">
        <v>89833.195000000007</v>
      </c>
      <c r="AK166" s="274">
        <v>89974.942999999999</v>
      </c>
      <c r="AL166" s="274">
        <v>90114.862999999998</v>
      </c>
      <c r="AM166" s="274">
        <v>90264.528000000006</v>
      </c>
      <c r="AN166" s="274">
        <v>90437.898000000001</v>
      </c>
      <c r="AO166" s="274">
        <v>90644.014999999999</v>
      </c>
      <c r="AP166" s="274">
        <v>90889.915999999997</v>
      </c>
      <c r="AQ166" s="274">
        <v>91171.262000000002</v>
      </c>
      <c r="AR166" s="274">
        <v>91471.479000000007</v>
      </c>
      <c r="AS166" s="274">
        <v>91766.797999999995</v>
      </c>
      <c r="AT166" s="274">
        <v>92040.282000000007</v>
      </c>
      <c r="AU166" s="274">
        <v>92287.438999999998</v>
      </c>
      <c r="AV166" s="274">
        <v>92514.31</v>
      </c>
      <c r="AW166" s="274">
        <v>92727.442999999999</v>
      </c>
      <c r="AX166" s="274">
        <v>92937.548999999999</v>
      </c>
      <c r="AY166" s="274">
        <v>93153.316000000006</v>
      </c>
      <c r="AZ166" s="274">
        <v>93378.805999999997</v>
      </c>
      <c r="BA166" s="274">
        <v>93614.543000000005</v>
      </c>
      <c r="BB166" s="274">
        <v>93862.081000000006</v>
      </c>
      <c r="BC166" s="274">
        <v>94122.212</v>
      </c>
      <c r="BD166" s="274">
        <v>94397.433999999994</v>
      </c>
      <c r="BE166" s="274">
        <v>94682.917000000001</v>
      </c>
      <c r="BF166" s="274">
        <v>94983.945999999996</v>
      </c>
      <c r="BG166" s="274">
        <v>95324.543999999994</v>
      </c>
      <c r="BH166" s="274">
        <v>95736.247000000003</v>
      </c>
      <c r="BI166" s="274">
        <v>96238.536999999997</v>
      </c>
      <c r="BJ166" s="274">
        <v>96844.364000000001</v>
      </c>
      <c r="BK166" s="274">
        <v>97539.012000000002</v>
      </c>
      <c r="BL166" s="274">
        <v>98280.146999999997</v>
      </c>
      <c r="BM166" s="274">
        <v>99008.676000000007</v>
      </c>
      <c r="BN166" s="274">
        <v>99682.18</v>
      </c>
      <c r="BO166" s="274">
        <v>100283.755</v>
      </c>
      <c r="BP166" s="274">
        <v>100825.61500000001</v>
      </c>
      <c r="BQ166" s="274">
        <v>101329.969</v>
      </c>
      <c r="BR166" s="274">
        <v>101832.226</v>
      </c>
      <c r="BS166" s="274">
        <v>102357.768</v>
      </c>
    </row>
    <row r="167" spans="1:71" x14ac:dyDescent="0.4">
      <c r="A167" s="270">
        <v>148</v>
      </c>
      <c r="B167" s="271" t="s">
        <v>890</v>
      </c>
      <c r="C167" s="276" t="s">
        <v>934</v>
      </c>
      <c r="D167" s="273">
        <v>15</v>
      </c>
      <c r="E167" s="273">
        <v>830</v>
      </c>
      <c r="F167" s="274">
        <v>102.235</v>
      </c>
      <c r="G167" s="274">
        <v>102.965</v>
      </c>
      <c r="H167" s="274">
        <v>103.65300000000001</v>
      </c>
      <c r="I167" s="274">
        <v>104.31399999999999</v>
      </c>
      <c r="J167" s="274">
        <v>104.962</v>
      </c>
      <c r="K167" s="274">
        <v>105.608</v>
      </c>
      <c r="L167" s="274">
        <v>106.271</v>
      </c>
      <c r="M167" s="274">
        <v>106.967</v>
      </c>
      <c r="N167" s="274">
        <v>107.712</v>
      </c>
      <c r="O167" s="274">
        <v>108.526</v>
      </c>
      <c r="P167" s="274">
        <v>109.419</v>
      </c>
      <c r="Q167" s="274">
        <v>110.399</v>
      </c>
      <c r="R167" s="274">
        <v>111.46299999999999</v>
      </c>
      <c r="S167" s="274">
        <v>112.595</v>
      </c>
      <c r="T167" s="274">
        <v>113.77800000000001</v>
      </c>
      <c r="U167" s="274">
        <v>114.992</v>
      </c>
      <c r="V167" s="274">
        <v>116.226</v>
      </c>
      <c r="W167" s="274">
        <v>117.47499999999999</v>
      </c>
      <c r="X167" s="274">
        <v>118.726</v>
      </c>
      <c r="Y167" s="274">
        <v>119.971</v>
      </c>
      <c r="Z167" s="274">
        <v>121.196</v>
      </c>
      <c r="AA167" s="274">
        <v>122.413</v>
      </c>
      <c r="AB167" s="274">
        <v>123.611</v>
      </c>
      <c r="AC167" s="274">
        <v>124.72799999999999</v>
      </c>
      <c r="AD167" s="274">
        <v>125.68</v>
      </c>
      <c r="AE167" s="274">
        <v>126.417</v>
      </c>
      <c r="AF167" s="274">
        <v>126.90600000000001</v>
      </c>
      <c r="AG167" s="274">
        <v>127.19</v>
      </c>
      <c r="AH167" s="274">
        <v>127.39400000000001</v>
      </c>
      <c r="AI167" s="274">
        <v>127.694</v>
      </c>
      <c r="AJ167" s="274">
        <v>128.21299999999999</v>
      </c>
      <c r="AK167" s="274">
        <v>128.988</v>
      </c>
      <c r="AL167" s="274">
        <v>129.983</v>
      </c>
      <c r="AM167" s="274">
        <v>131.15799999999999</v>
      </c>
      <c r="AN167" s="274">
        <v>132.45099999999999</v>
      </c>
      <c r="AO167" s="274">
        <v>133.804</v>
      </c>
      <c r="AP167" s="274">
        <v>135.227</v>
      </c>
      <c r="AQ167" s="274">
        <v>136.71600000000001</v>
      </c>
      <c r="AR167" s="274">
        <v>138.18600000000001</v>
      </c>
      <c r="AS167" s="274">
        <v>139.52799999999999</v>
      </c>
      <c r="AT167" s="274">
        <v>140.66900000000001</v>
      </c>
      <c r="AU167" s="274">
        <v>141.56800000000001</v>
      </c>
      <c r="AV167" s="274">
        <v>142.25800000000001</v>
      </c>
      <c r="AW167" s="274">
        <v>142.822</v>
      </c>
      <c r="AX167" s="274">
        <v>143.38800000000001</v>
      </c>
      <c r="AY167" s="274">
        <v>144.05000000000001</v>
      </c>
      <c r="AZ167" s="274">
        <v>144.83199999999999</v>
      </c>
      <c r="BA167" s="274">
        <v>145.709</v>
      </c>
      <c r="BB167" s="274">
        <v>146.66900000000001</v>
      </c>
      <c r="BC167" s="274">
        <v>147.68199999999999</v>
      </c>
      <c r="BD167" s="274">
        <v>148.72499999999999</v>
      </c>
      <c r="BE167" s="274">
        <v>149.797</v>
      </c>
      <c r="BF167" s="274">
        <v>150.905</v>
      </c>
      <c r="BG167" s="274">
        <v>152.03399999999999</v>
      </c>
      <c r="BH167" s="274">
        <v>153.16999999999999</v>
      </c>
      <c r="BI167" s="274">
        <v>154.298</v>
      </c>
      <c r="BJ167" s="274">
        <v>155.41499999999999</v>
      </c>
      <c r="BK167" s="274">
        <v>156.51599999999999</v>
      </c>
      <c r="BL167" s="274">
        <v>157.58699999999999</v>
      </c>
      <c r="BM167" s="274">
        <v>158.613</v>
      </c>
      <c r="BN167" s="274">
        <v>159.583</v>
      </c>
      <c r="BO167" s="274">
        <v>160.489</v>
      </c>
      <c r="BP167" s="274">
        <v>161.33600000000001</v>
      </c>
      <c r="BQ167" s="274">
        <v>162.13800000000001</v>
      </c>
      <c r="BR167" s="274">
        <v>162.917</v>
      </c>
      <c r="BS167" s="274">
        <v>163.69200000000001</v>
      </c>
    </row>
    <row r="168" spans="1:71" x14ac:dyDescent="0.4">
      <c r="A168" s="270">
        <v>149</v>
      </c>
      <c r="B168" s="271" t="s">
        <v>890</v>
      </c>
      <c r="C168" s="276" t="s">
        <v>359</v>
      </c>
      <c r="D168" s="273"/>
      <c r="E168" s="273">
        <v>208</v>
      </c>
      <c r="F168" s="274">
        <v>4268.2700000000004</v>
      </c>
      <c r="G168" s="274">
        <v>4308.3239999999996</v>
      </c>
      <c r="H168" s="274">
        <v>4345.2179999999998</v>
      </c>
      <c r="I168" s="274">
        <v>4379.1409999999996</v>
      </c>
      <c r="J168" s="274">
        <v>4410.4350000000004</v>
      </c>
      <c r="K168" s="274">
        <v>4439.5940000000001</v>
      </c>
      <c r="L168" s="274">
        <v>4467.2790000000005</v>
      </c>
      <c r="M168" s="274">
        <v>4494.3059999999996</v>
      </c>
      <c r="N168" s="274">
        <v>4521.598</v>
      </c>
      <c r="O168" s="274">
        <v>4550.1289999999999</v>
      </c>
      <c r="P168" s="274">
        <v>4580.7079999999996</v>
      </c>
      <c r="Q168" s="274">
        <v>4613.7690000000002</v>
      </c>
      <c r="R168" s="274">
        <v>4649.1790000000001</v>
      </c>
      <c r="S168" s="274">
        <v>4686.1549999999997</v>
      </c>
      <c r="T168" s="274">
        <v>4723.4960000000001</v>
      </c>
      <c r="U168" s="274">
        <v>4760.2619999999997</v>
      </c>
      <c r="V168" s="274">
        <v>4796.1570000000002</v>
      </c>
      <c r="W168" s="274">
        <v>4831.2420000000002</v>
      </c>
      <c r="X168" s="274">
        <v>4865.3429999999998</v>
      </c>
      <c r="Y168" s="274">
        <v>4898.3500000000004</v>
      </c>
      <c r="Z168" s="274">
        <v>4930.1180000000004</v>
      </c>
      <c r="AA168" s="274">
        <v>4960.4759999999997</v>
      </c>
      <c r="AB168" s="274">
        <v>4989.1459999999997</v>
      </c>
      <c r="AC168" s="274">
        <v>5015.7659999999996</v>
      </c>
      <c r="AD168" s="274">
        <v>5039.92</v>
      </c>
      <c r="AE168" s="274">
        <v>5061.2889999999998</v>
      </c>
      <c r="AF168" s="274">
        <v>5079.9620000000004</v>
      </c>
      <c r="AG168" s="274">
        <v>5095.9560000000001</v>
      </c>
      <c r="AH168" s="274">
        <v>5108.8360000000002</v>
      </c>
      <c r="AI168" s="274">
        <v>5118.0649999999996</v>
      </c>
      <c r="AJ168" s="274">
        <v>5123.4350000000004</v>
      </c>
      <c r="AK168" s="274">
        <v>5124.8069999999998</v>
      </c>
      <c r="AL168" s="274">
        <v>5122.8100000000004</v>
      </c>
      <c r="AM168" s="274">
        <v>5118.9660000000003</v>
      </c>
      <c r="AN168" s="274">
        <v>5115.308</v>
      </c>
      <c r="AO168" s="274">
        <v>5113.4080000000004</v>
      </c>
      <c r="AP168" s="274">
        <v>5113.7669999999998</v>
      </c>
      <c r="AQ168" s="274">
        <v>5116.3509999999997</v>
      </c>
      <c r="AR168" s="274">
        <v>5121.5110000000004</v>
      </c>
      <c r="AS168" s="274">
        <v>5129.4719999999998</v>
      </c>
      <c r="AT168" s="274">
        <v>5140.3320000000003</v>
      </c>
      <c r="AU168" s="274">
        <v>5154.3090000000002</v>
      </c>
      <c r="AV168" s="274">
        <v>5171.3040000000001</v>
      </c>
      <c r="AW168" s="274">
        <v>5190.6310000000003</v>
      </c>
      <c r="AX168" s="274">
        <v>5211.3209999999999</v>
      </c>
      <c r="AY168" s="274">
        <v>5232.5820000000003</v>
      </c>
      <c r="AZ168" s="274">
        <v>5254.3829999999998</v>
      </c>
      <c r="BA168" s="274">
        <v>5276.683</v>
      </c>
      <c r="BB168" s="274">
        <v>5298.68</v>
      </c>
      <c r="BC168" s="274">
        <v>5319.41</v>
      </c>
      <c r="BD168" s="274">
        <v>5338.2830000000004</v>
      </c>
      <c r="BE168" s="274">
        <v>5354.7039999999997</v>
      </c>
      <c r="BF168" s="274">
        <v>5369.058</v>
      </c>
      <c r="BG168" s="274">
        <v>5382.9530000000004</v>
      </c>
      <c r="BH168" s="274">
        <v>5398.6450000000004</v>
      </c>
      <c r="BI168" s="274">
        <v>5417.692</v>
      </c>
      <c r="BJ168" s="274">
        <v>5440.6959999999999</v>
      </c>
      <c r="BK168" s="274">
        <v>5466.9880000000003</v>
      </c>
      <c r="BL168" s="274">
        <v>5495.3019999999997</v>
      </c>
      <c r="BM168" s="274">
        <v>5523.7550000000001</v>
      </c>
      <c r="BN168" s="274">
        <v>5550.9589999999998</v>
      </c>
      <c r="BO168" s="274">
        <v>5576.5770000000002</v>
      </c>
      <c r="BP168" s="274">
        <v>5600.9719999999998</v>
      </c>
      <c r="BQ168" s="274">
        <v>5624.2929999999997</v>
      </c>
      <c r="BR168" s="274">
        <v>5646.8990000000003</v>
      </c>
      <c r="BS168" s="274">
        <v>5669.0810000000001</v>
      </c>
    </row>
    <row r="169" spans="1:71" x14ac:dyDescent="0.4">
      <c r="A169" s="270">
        <v>150</v>
      </c>
      <c r="B169" s="271" t="s">
        <v>890</v>
      </c>
      <c r="C169" s="276" t="s">
        <v>389</v>
      </c>
      <c r="D169" s="273"/>
      <c r="E169" s="273">
        <v>233</v>
      </c>
      <c r="F169" s="274">
        <v>1100.998</v>
      </c>
      <c r="G169" s="274">
        <v>1113.2470000000001</v>
      </c>
      <c r="H169" s="274">
        <v>1125.2449999999999</v>
      </c>
      <c r="I169" s="274">
        <v>1136.9059999999999</v>
      </c>
      <c r="J169" s="274">
        <v>1148.2170000000001</v>
      </c>
      <c r="K169" s="274">
        <v>1159.2380000000001</v>
      </c>
      <c r="L169" s="274">
        <v>1170.105</v>
      </c>
      <c r="M169" s="274">
        <v>1181.0250000000001</v>
      </c>
      <c r="N169" s="274">
        <v>1192.2650000000001</v>
      </c>
      <c r="O169" s="274">
        <v>1204.117</v>
      </c>
      <c r="P169" s="274">
        <v>1216.8309999999999</v>
      </c>
      <c r="Q169" s="274">
        <v>1230.521</v>
      </c>
      <c r="R169" s="274">
        <v>1245.098</v>
      </c>
      <c r="S169" s="274">
        <v>1260.239</v>
      </c>
      <c r="T169" s="274">
        <v>1275.471</v>
      </c>
      <c r="U169" s="274">
        <v>1290.4369999999999</v>
      </c>
      <c r="V169" s="274">
        <v>1305.0250000000001</v>
      </c>
      <c r="W169" s="274">
        <v>1319.2840000000001</v>
      </c>
      <c r="X169" s="274">
        <v>1333.213</v>
      </c>
      <c r="Y169" s="274">
        <v>1346.854</v>
      </c>
      <c r="Z169" s="274">
        <v>1360.2360000000001</v>
      </c>
      <c r="AA169" s="274">
        <v>1373.336</v>
      </c>
      <c r="AB169" s="274">
        <v>1386.0989999999999</v>
      </c>
      <c r="AC169" s="274">
        <v>1398.4970000000001</v>
      </c>
      <c r="AD169" s="274">
        <v>1410.492</v>
      </c>
      <c r="AE169" s="274">
        <v>1422.07</v>
      </c>
      <c r="AF169" s="274">
        <v>1433.2070000000001</v>
      </c>
      <c r="AG169" s="274">
        <v>1443.9259999999999</v>
      </c>
      <c r="AH169" s="274">
        <v>1454.309</v>
      </c>
      <c r="AI169" s="274">
        <v>1464.4680000000001</v>
      </c>
      <c r="AJ169" s="274">
        <v>1474.4870000000001</v>
      </c>
      <c r="AK169" s="274">
        <v>1483.9380000000001</v>
      </c>
      <c r="AL169" s="274">
        <v>1492.704</v>
      </c>
      <c r="AM169" s="274">
        <v>1501.49</v>
      </c>
      <c r="AN169" s="274">
        <v>1511.2719999999999</v>
      </c>
      <c r="AO169" s="274">
        <v>1522.4770000000001</v>
      </c>
      <c r="AP169" s="274">
        <v>1536.1120000000001</v>
      </c>
      <c r="AQ169" s="274">
        <v>1551.288</v>
      </c>
      <c r="AR169" s="274">
        <v>1564.278</v>
      </c>
      <c r="AS169" s="274">
        <v>1570.0509999999999</v>
      </c>
      <c r="AT169" s="274">
        <v>1565.32</v>
      </c>
      <c r="AU169" s="274">
        <v>1548.287</v>
      </c>
      <c r="AV169" s="274">
        <v>1520.8789999999999</v>
      </c>
      <c r="AW169" s="274">
        <v>1488.12</v>
      </c>
      <c r="AX169" s="274">
        <v>1457.145</v>
      </c>
      <c r="AY169" s="274">
        <v>1433.076</v>
      </c>
      <c r="AZ169" s="274">
        <v>1417.7860000000001</v>
      </c>
      <c r="BA169" s="274">
        <v>1409.7180000000001</v>
      </c>
      <c r="BB169" s="274">
        <v>1406.3879999999999</v>
      </c>
      <c r="BC169" s="274">
        <v>1403.8209999999999</v>
      </c>
      <c r="BD169" s="274">
        <v>1399.145</v>
      </c>
      <c r="BE169" s="274">
        <v>1391.7539999999999</v>
      </c>
      <c r="BF169" s="274">
        <v>1382.7349999999999</v>
      </c>
      <c r="BG169" s="274">
        <v>1372.89</v>
      </c>
      <c r="BH169" s="274">
        <v>1363.549</v>
      </c>
      <c r="BI169" s="274">
        <v>1355.662</v>
      </c>
      <c r="BJ169" s="274">
        <v>1349.3689999999999</v>
      </c>
      <c r="BK169" s="274">
        <v>1344.2329999999999</v>
      </c>
      <c r="BL169" s="274">
        <v>1339.941</v>
      </c>
      <c r="BM169" s="274">
        <v>1336.0129999999999</v>
      </c>
      <c r="BN169" s="274">
        <v>1332.0889999999999</v>
      </c>
      <c r="BO169" s="274">
        <v>1328.068</v>
      </c>
      <c r="BP169" s="274">
        <v>1324.04</v>
      </c>
      <c r="BQ169" s="274">
        <v>1320.05</v>
      </c>
      <c r="BR169" s="274">
        <v>1316.203</v>
      </c>
      <c r="BS169" s="274">
        <v>1312.558</v>
      </c>
    </row>
    <row r="170" spans="1:71" x14ac:dyDescent="0.4">
      <c r="A170" s="270">
        <v>151</v>
      </c>
      <c r="B170" s="271" t="s">
        <v>890</v>
      </c>
      <c r="C170" s="276" t="s">
        <v>935</v>
      </c>
      <c r="D170" s="273"/>
      <c r="E170" s="273">
        <v>234</v>
      </c>
      <c r="F170" s="274">
        <v>31.504000000000001</v>
      </c>
      <c r="G170" s="274">
        <v>31.286999999999999</v>
      </c>
      <c r="H170" s="274">
        <v>31.218</v>
      </c>
      <c r="I170" s="274">
        <v>31.292000000000002</v>
      </c>
      <c r="J170" s="274">
        <v>31.497</v>
      </c>
      <c r="K170" s="274">
        <v>31.818000000000001</v>
      </c>
      <c r="L170" s="274">
        <v>32.232999999999997</v>
      </c>
      <c r="M170" s="274">
        <v>32.715000000000003</v>
      </c>
      <c r="N170" s="274">
        <v>33.235999999999997</v>
      </c>
      <c r="O170" s="274">
        <v>33.762</v>
      </c>
      <c r="P170" s="274">
        <v>34.265999999999998</v>
      </c>
      <c r="Q170" s="274">
        <v>34.729999999999997</v>
      </c>
      <c r="R170" s="274">
        <v>35.152999999999999</v>
      </c>
      <c r="S170" s="274">
        <v>35.549999999999997</v>
      </c>
      <c r="T170" s="274">
        <v>35.945999999999998</v>
      </c>
      <c r="U170" s="274">
        <v>36.363</v>
      </c>
      <c r="V170" s="274">
        <v>36.804000000000002</v>
      </c>
      <c r="W170" s="274">
        <v>37.258000000000003</v>
      </c>
      <c r="X170" s="274">
        <v>37.718000000000004</v>
      </c>
      <c r="Y170" s="274">
        <v>38.164000000000001</v>
      </c>
      <c r="Z170" s="274">
        <v>38.587000000000003</v>
      </c>
      <c r="AA170" s="274">
        <v>38.982999999999997</v>
      </c>
      <c r="AB170" s="274">
        <v>39.36</v>
      </c>
      <c r="AC170" s="274">
        <v>39.731000000000002</v>
      </c>
      <c r="AD170" s="274">
        <v>40.116</v>
      </c>
      <c r="AE170" s="274">
        <v>40.529000000000003</v>
      </c>
      <c r="AF170" s="274">
        <v>40.973999999999997</v>
      </c>
      <c r="AG170" s="274">
        <v>41.447000000000003</v>
      </c>
      <c r="AH170" s="274">
        <v>41.945999999999998</v>
      </c>
      <c r="AI170" s="274">
        <v>42.468000000000004</v>
      </c>
      <c r="AJ170" s="274">
        <v>43.01</v>
      </c>
      <c r="AK170" s="274">
        <v>43.558999999999997</v>
      </c>
      <c r="AL170" s="274">
        <v>44.104999999999997</v>
      </c>
      <c r="AM170" s="274">
        <v>44.661000000000001</v>
      </c>
      <c r="AN170" s="274">
        <v>45.238999999999997</v>
      </c>
      <c r="AO170" s="274">
        <v>45.84</v>
      </c>
      <c r="AP170" s="274">
        <v>46.500999999999998</v>
      </c>
      <c r="AQ170" s="274">
        <v>47.194000000000003</v>
      </c>
      <c r="AR170" s="274">
        <v>47.789000000000001</v>
      </c>
      <c r="AS170" s="274">
        <v>48.104999999999997</v>
      </c>
      <c r="AT170" s="274">
        <v>48.030999999999999</v>
      </c>
      <c r="AU170" s="274">
        <v>47.494</v>
      </c>
      <c r="AV170" s="274">
        <v>46.573999999999998</v>
      </c>
      <c r="AW170" s="274">
        <v>45.500999999999998</v>
      </c>
      <c r="AX170" s="274">
        <v>44.6</v>
      </c>
      <c r="AY170" s="274">
        <v>44.098999999999997</v>
      </c>
      <c r="AZ170" s="274">
        <v>44.081000000000003</v>
      </c>
      <c r="BA170" s="274">
        <v>44.466999999999999</v>
      </c>
      <c r="BB170" s="274">
        <v>45.125999999999998</v>
      </c>
      <c r="BC170" s="274">
        <v>45.851999999999997</v>
      </c>
      <c r="BD170" s="274">
        <v>46.491</v>
      </c>
      <c r="BE170" s="274">
        <v>47.012</v>
      </c>
      <c r="BF170" s="274">
        <v>47.451999999999998</v>
      </c>
      <c r="BG170" s="274">
        <v>47.811999999999998</v>
      </c>
      <c r="BH170" s="274">
        <v>48.103000000000002</v>
      </c>
      <c r="BI170" s="274">
        <v>48.337000000000003</v>
      </c>
      <c r="BJ170" s="274">
        <v>48.505000000000003</v>
      </c>
      <c r="BK170" s="274">
        <v>48.598999999999997</v>
      </c>
      <c r="BL170" s="274">
        <v>48.628999999999998</v>
      </c>
      <c r="BM170" s="274">
        <v>48.613</v>
      </c>
      <c r="BN170" s="274">
        <v>48.567</v>
      </c>
      <c r="BO170" s="274">
        <v>48.491999999999997</v>
      </c>
      <c r="BP170" s="274">
        <v>48.393000000000001</v>
      </c>
      <c r="BQ170" s="274">
        <v>48.292000000000002</v>
      </c>
      <c r="BR170" s="274">
        <v>48.220999999999997</v>
      </c>
      <c r="BS170" s="274">
        <v>48.198999999999998</v>
      </c>
    </row>
    <row r="171" spans="1:71" x14ac:dyDescent="0.4">
      <c r="A171" s="270">
        <v>152</v>
      </c>
      <c r="B171" s="271" t="s">
        <v>890</v>
      </c>
      <c r="C171" s="276" t="s">
        <v>404</v>
      </c>
      <c r="D171" s="273">
        <v>16</v>
      </c>
      <c r="E171" s="273">
        <v>246</v>
      </c>
      <c r="F171" s="274">
        <v>4008.299</v>
      </c>
      <c r="G171" s="274">
        <v>4049.6889999999999</v>
      </c>
      <c r="H171" s="274">
        <v>4095.13</v>
      </c>
      <c r="I171" s="274">
        <v>4142.3530000000001</v>
      </c>
      <c r="J171" s="274">
        <v>4189.5590000000002</v>
      </c>
      <c r="K171" s="274">
        <v>4235.4229999999998</v>
      </c>
      <c r="L171" s="274">
        <v>4279.1080000000002</v>
      </c>
      <c r="M171" s="274">
        <v>4320.25</v>
      </c>
      <c r="N171" s="274">
        <v>4358.9009999999998</v>
      </c>
      <c r="O171" s="274">
        <v>4395.4269999999997</v>
      </c>
      <c r="P171" s="274">
        <v>4430.2280000000001</v>
      </c>
      <c r="Q171" s="274">
        <v>4463.4319999999998</v>
      </c>
      <c r="R171" s="274">
        <v>4494.6229999999996</v>
      </c>
      <c r="S171" s="274">
        <v>4522.7269999999999</v>
      </c>
      <c r="T171" s="274">
        <v>4546.3429999999998</v>
      </c>
      <c r="U171" s="274">
        <v>4564.6899999999996</v>
      </c>
      <c r="V171" s="274">
        <v>4577.0330000000004</v>
      </c>
      <c r="W171" s="274">
        <v>4584.2640000000001</v>
      </c>
      <c r="X171" s="274">
        <v>4589.2259999999997</v>
      </c>
      <c r="Y171" s="274">
        <v>4595.8069999999998</v>
      </c>
      <c r="Z171" s="274">
        <v>4606.74</v>
      </c>
      <c r="AA171" s="274">
        <v>4623.3890000000001</v>
      </c>
      <c r="AB171" s="274">
        <v>4644.8469999999998</v>
      </c>
      <c r="AC171" s="274">
        <v>4668.8130000000001</v>
      </c>
      <c r="AD171" s="274">
        <v>4691.8180000000002</v>
      </c>
      <c r="AE171" s="274">
        <v>4711.4589999999998</v>
      </c>
      <c r="AF171" s="274">
        <v>4726.8029999999999</v>
      </c>
      <c r="AG171" s="274">
        <v>4738.9489999999996</v>
      </c>
      <c r="AH171" s="274">
        <v>4749.9399999999996</v>
      </c>
      <c r="AI171" s="274">
        <v>4762.7579999999998</v>
      </c>
      <c r="AJ171" s="274">
        <v>4779.4539999999997</v>
      </c>
      <c r="AK171" s="274">
        <v>4800.8990000000003</v>
      </c>
      <c r="AL171" s="274">
        <v>4826.1350000000002</v>
      </c>
      <c r="AM171" s="274">
        <v>4853.1959999999999</v>
      </c>
      <c r="AN171" s="274">
        <v>4879.2219999999998</v>
      </c>
      <c r="AO171" s="274">
        <v>4902.2190000000001</v>
      </c>
      <c r="AP171" s="274">
        <v>4921.2929999999997</v>
      </c>
      <c r="AQ171" s="274">
        <v>4937.259</v>
      </c>
      <c r="AR171" s="274">
        <v>4951.8860000000004</v>
      </c>
      <c r="AS171" s="274">
        <v>4967.7759999999998</v>
      </c>
      <c r="AT171" s="274">
        <v>4986.7049999999999</v>
      </c>
      <c r="AU171" s="274">
        <v>5009.3810000000003</v>
      </c>
      <c r="AV171" s="274">
        <v>5034.8980000000001</v>
      </c>
      <c r="AW171" s="274">
        <v>5061.4650000000001</v>
      </c>
      <c r="AX171" s="274">
        <v>5086.4989999999998</v>
      </c>
      <c r="AY171" s="274">
        <v>5108.1760000000004</v>
      </c>
      <c r="AZ171" s="274">
        <v>5126.0209999999997</v>
      </c>
      <c r="BA171" s="274">
        <v>5140.7550000000001</v>
      </c>
      <c r="BB171" s="274">
        <v>5153.2290000000003</v>
      </c>
      <c r="BC171" s="274">
        <v>5164.78</v>
      </c>
      <c r="BD171" s="274">
        <v>5176.482</v>
      </c>
      <c r="BE171" s="274">
        <v>5188.4459999999999</v>
      </c>
      <c r="BF171" s="274">
        <v>5200.6319999999996</v>
      </c>
      <c r="BG171" s="274">
        <v>5213.8</v>
      </c>
      <c r="BH171" s="274">
        <v>5228.8419999999996</v>
      </c>
      <c r="BI171" s="274">
        <v>5246.3680000000004</v>
      </c>
      <c r="BJ171" s="274">
        <v>5266.6</v>
      </c>
      <c r="BK171" s="274">
        <v>5289.3329999999996</v>
      </c>
      <c r="BL171" s="274">
        <v>5314.17</v>
      </c>
      <c r="BM171" s="274">
        <v>5340.4849999999997</v>
      </c>
      <c r="BN171" s="274">
        <v>5367.6930000000002</v>
      </c>
      <c r="BO171" s="274">
        <v>5395.8159999999998</v>
      </c>
      <c r="BP171" s="274">
        <v>5424.6440000000002</v>
      </c>
      <c r="BQ171" s="274">
        <v>5453.0609999999997</v>
      </c>
      <c r="BR171" s="274">
        <v>5479.66</v>
      </c>
      <c r="BS171" s="274">
        <v>5503.4570000000003</v>
      </c>
    </row>
    <row r="172" spans="1:71" x14ac:dyDescent="0.4">
      <c r="A172" s="270">
        <v>153</v>
      </c>
      <c r="B172" s="271" t="s">
        <v>890</v>
      </c>
      <c r="C172" s="276" t="s">
        <v>454</v>
      </c>
      <c r="D172" s="273"/>
      <c r="E172" s="273">
        <v>352</v>
      </c>
      <c r="F172" s="274">
        <v>142.65600000000001</v>
      </c>
      <c r="G172" s="274">
        <v>144.928</v>
      </c>
      <c r="H172" s="274">
        <v>147.68100000000001</v>
      </c>
      <c r="I172" s="274">
        <v>150.779</v>
      </c>
      <c r="J172" s="274">
        <v>154.11000000000001</v>
      </c>
      <c r="K172" s="274">
        <v>157.584</v>
      </c>
      <c r="L172" s="274">
        <v>161.136</v>
      </c>
      <c r="M172" s="274">
        <v>164.721</v>
      </c>
      <c r="N172" s="274">
        <v>168.31800000000001</v>
      </c>
      <c r="O172" s="274">
        <v>171.91900000000001</v>
      </c>
      <c r="P172" s="274">
        <v>175.52</v>
      </c>
      <c r="Q172" s="274">
        <v>179.10599999999999</v>
      </c>
      <c r="R172" s="274">
        <v>182.64</v>
      </c>
      <c r="S172" s="274">
        <v>186.05600000000001</v>
      </c>
      <c r="T172" s="274">
        <v>189.27600000000001</v>
      </c>
      <c r="U172" s="274">
        <v>192.251</v>
      </c>
      <c r="V172" s="274">
        <v>194.935</v>
      </c>
      <c r="W172" s="274">
        <v>197.35599999999999</v>
      </c>
      <c r="X172" s="274">
        <v>199.63399999999999</v>
      </c>
      <c r="Y172" s="274">
        <v>201.941</v>
      </c>
      <c r="Z172" s="274">
        <v>204.392</v>
      </c>
      <c r="AA172" s="274">
        <v>207.05</v>
      </c>
      <c r="AB172" s="274">
        <v>209.86799999999999</v>
      </c>
      <c r="AC172" s="274">
        <v>212.73099999999999</v>
      </c>
      <c r="AD172" s="274">
        <v>215.465</v>
      </c>
      <c r="AE172" s="274">
        <v>217.958</v>
      </c>
      <c r="AF172" s="274">
        <v>220.16200000000001</v>
      </c>
      <c r="AG172" s="274">
        <v>222.142</v>
      </c>
      <c r="AH172" s="274">
        <v>224.01900000000001</v>
      </c>
      <c r="AI172" s="274">
        <v>225.97200000000001</v>
      </c>
      <c r="AJ172" s="274">
        <v>228.12700000000001</v>
      </c>
      <c r="AK172" s="274">
        <v>230.52500000000001</v>
      </c>
      <c r="AL172" s="274">
        <v>233.12100000000001</v>
      </c>
      <c r="AM172" s="274">
        <v>235.86</v>
      </c>
      <c r="AN172" s="274">
        <v>238.64699999999999</v>
      </c>
      <c r="AO172" s="274">
        <v>241.411</v>
      </c>
      <c r="AP172" s="274">
        <v>244.14500000000001</v>
      </c>
      <c r="AQ172" s="274">
        <v>246.86699999999999</v>
      </c>
      <c r="AR172" s="274">
        <v>249.56299999999999</v>
      </c>
      <c r="AS172" s="274">
        <v>252.21899999999999</v>
      </c>
      <c r="AT172" s="274">
        <v>254.83</v>
      </c>
      <c r="AU172" s="274">
        <v>257.387</v>
      </c>
      <c r="AV172" s="274">
        <v>259.89499999999998</v>
      </c>
      <c r="AW172" s="274">
        <v>262.38299999999998</v>
      </c>
      <c r="AX172" s="274">
        <v>264.89299999999997</v>
      </c>
      <c r="AY172" s="274">
        <v>267.45400000000001</v>
      </c>
      <c r="AZ172" s="274">
        <v>270.089</v>
      </c>
      <c r="BA172" s="274">
        <v>272.798</v>
      </c>
      <c r="BB172" s="274">
        <v>275.56799999999998</v>
      </c>
      <c r="BC172" s="274">
        <v>278.37599999999998</v>
      </c>
      <c r="BD172" s="274">
        <v>281.214</v>
      </c>
      <c r="BE172" s="274">
        <v>284.03699999999998</v>
      </c>
      <c r="BF172" s="274">
        <v>286.86500000000001</v>
      </c>
      <c r="BG172" s="274">
        <v>289.82400000000001</v>
      </c>
      <c r="BH172" s="274">
        <v>293.084</v>
      </c>
      <c r="BI172" s="274">
        <v>296.745</v>
      </c>
      <c r="BJ172" s="274">
        <v>300.887</v>
      </c>
      <c r="BK172" s="274">
        <v>305.41500000000002</v>
      </c>
      <c r="BL172" s="274">
        <v>310.03300000000002</v>
      </c>
      <c r="BM172" s="274">
        <v>314.33600000000001</v>
      </c>
      <c r="BN172" s="274">
        <v>318.04199999999997</v>
      </c>
      <c r="BO172" s="274">
        <v>321.02999999999997</v>
      </c>
      <c r="BP172" s="274">
        <v>323.40699999999998</v>
      </c>
      <c r="BQ172" s="274">
        <v>325.392</v>
      </c>
      <c r="BR172" s="274">
        <v>327.31799999999998</v>
      </c>
      <c r="BS172" s="274">
        <v>329.42500000000001</v>
      </c>
    </row>
    <row r="173" spans="1:71" x14ac:dyDescent="0.4">
      <c r="A173" s="270">
        <v>154</v>
      </c>
      <c r="B173" s="271" t="s">
        <v>890</v>
      </c>
      <c r="C173" s="276" t="s">
        <v>474</v>
      </c>
      <c r="D173" s="273"/>
      <c r="E173" s="273">
        <v>372</v>
      </c>
      <c r="F173" s="274">
        <v>2913.0929999999998</v>
      </c>
      <c r="G173" s="274">
        <v>2921.2779999999998</v>
      </c>
      <c r="H173" s="274">
        <v>2924.2220000000002</v>
      </c>
      <c r="I173" s="274">
        <v>2921.36</v>
      </c>
      <c r="J173" s="274">
        <v>2912.7469999999998</v>
      </c>
      <c r="K173" s="274">
        <v>2899.0549999999998</v>
      </c>
      <c r="L173" s="274">
        <v>2881.6120000000001</v>
      </c>
      <c r="M173" s="274">
        <v>2862.366</v>
      </c>
      <c r="N173" s="274">
        <v>2843.7550000000001</v>
      </c>
      <c r="O173" s="274">
        <v>2828.5149999999999</v>
      </c>
      <c r="P173" s="274">
        <v>2819.0590000000002</v>
      </c>
      <c r="Q173" s="274">
        <v>2816.8319999999999</v>
      </c>
      <c r="R173" s="274">
        <v>2821.7420000000002</v>
      </c>
      <c r="S173" s="274">
        <v>2831.9110000000001</v>
      </c>
      <c r="T173" s="274">
        <v>2844.373</v>
      </c>
      <c r="U173" s="274">
        <v>2857.1039999999998</v>
      </c>
      <c r="V173" s="274">
        <v>2869.3110000000001</v>
      </c>
      <c r="W173" s="274">
        <v>2882.0949999999998</v>
      </c>
      <c r="X173" s="274">
        <v>2897.5410000000002</v>
      </c>
      <c r="Y173" s="274">
        <v>2918.6260000000002</v>
      </c>
      <c r="Z173" s="274">
        <v>2947.3389999999999</v>
      </c>
      <c r="AA173" s="274">
        <v>2984.0439999999999</v>
      </c>
      <c r="AB173" s="274">
        <v>3027.538</v>
      </c>
      <c r="AC173" s="274">
        <v>3076.2730000000001</v>
      </c>
      <c r="AD173" s="274">
        <v>3128</v>
      </c>
      <c r="AE173" s="274">
        <v>3180.8049999999998</v>
      </c>
      <c r="AF173" s="274">
        <v>3234.1529999999998</v>
      </c>
      <c r="AG173" s="274">
        <v>3287.62</v>
      </c>
      <c r="AH173" s="274">
        <v>3339.4989999999998</v>
      </c>
      <c r="AI173" s="274">
        <v>3387.8220000000001</v>
      </c>
      <c r="AJ173" s="274">
        <v>3431.078</v>
      </c>
      <c r="AK173" s="274">
        <v>3468.884</v>
      </c>
      <c r="AL173" s="274">
        <v>3501.2130000000002</v>
      </c>
      <c r="AM173" s="274">
        <v>3527.4720000000002</v>
      </c>
      <c r="AN173" s="274">
        <v>3547.1570000000002</v>
      </c>
      <c r="AO173" s="274">
        <v>3560.2249999999999</v>
      </c>
      <c r="AP173" s="274">
        <v>3566.3270000000002</v>
      </c>
      <c r="AQ173" s="274">
        <v>3566.4160000000002</v>
      </c>
      <c r="AR173" s="274">
        <v>3563.4380000000001</v>
      </c>
      <c r="AS173" s="274">
        <v>3561.3310000000001</v>
      </c>
      <c r="AT173" s="274">
        <v>3563.1060000000002</v>
      </c>
      <c r="AU173" s="274">
        <v>3570.14</v>
      </c>
      <c r="AV173" s="274">
        <v>3582.3420000000001</v>
      </c>
      <c r="AW173" s="274">
        <v>3599.451</v>
      </c>
      <c r="AX173" s="274">
        <v>3620.616</v>
      </c>
      <c r="AY173" s="274">
        <v>3645.3330000000001</v>
      </c>
      <c r="AZ173" s="274">
        <v>3673.5529999999999</v>
      </c>
      <c r="BA173" s="274">
        <v>3706.0320000000002</v>
      </c>
      <c r="BB173" s="274">
        <v>3743.9479999999999</v>
      </c>
      <c r="BC173" s="274">
        <v>3788.8159999999998</v>
      </c>
      <c r="BD173" s="274">
        <v>3841.5740000000001</v>
      </c>
      <c r="BE173" s="274">
        <v>3901.6880000000001</v>
      </c>
      <c r="BF173" s="274">
        <v>3968.2130000000002</v>
      </c>
      <c r="BG173" s="274">
        <v>4040.9859999999999</v>
      </c>
      <c r="BH173" s="274">
        <v>4119.7730000000001</v>
      </c>
      <c r="BI173" s="274">
        <v>4203.7</v>
      </c>
      <c r="BJ173" s="274">
        <v>4293.942</v>
      </c>
      <c r="BK173" s="274">
        <v>4388.6120000000001</v>
      </c>
      <c r="BL173" s="274">
        <v>4480.1450000000004</v>
      </c>
      <c r="BM173" s="274">
        <v>4558.6030000000001</v>
      </c>
      <c r="BN173" s="274">
        <v>4617.3339999999998</v>
      </c>
      <c r="BO173" s="274">
        <v>4652.7139999999999</v>
      </c>
      <c r="BP173" s="274">
        <v>4667.8680000000004</v>
      </c>
      <c r="BQ173" s="274">
        <v>4671.2629999999999</v>
      </c>
      <c r="BR173" s="274">
        <v>4675.1639999999998</v>
      </c>
      <c r="BS173" s="274">
        <v>4688.4650000000001</v>
      </c>
    </row>
    <row r="174" spans="1:71" x14ac:dyDescent="0.4">
      <c r="A174" s="270">
        <v>155</v>
      </c>
      <c r="B174" s="271" t="s">
        <v>890</v>
      </c>
      <c r="C174" s="276" t="s">
        <v>936</v>
      </c>
      <c r="D174" s="273"/>
      <c r="E174" s="273">
        <v>833</v>
      </c>
      <c r="F174" s="274">
        <v>55.253</v>
      </c>
      <c r="G174" s="274">
        <v>55.264000000000003</v>
      </c>
      <c r="H174" s="274">
        <v>54.905999999999999</v>
      </c>
      <c r="I174" s="274">
        <v>54.258000000000003</v>
      </c>
      <c r="J174" s="274">
        <v>53.398000000000003</v>
      </c>
      <c r="K174" s="274">
        <v>52.408999999999999</v>
      </c>
      <c r="L174" s="274">
        <v>51.374000000000002</v>
      </c>
      <c r="M174" s="274">
        <v>50.378999999999998</v>
      </c>
      <c r="N174" s="274">
        <v>49.506999999999998</v>
      </c>
      <c r="O174" s="274">
        <v>48.838999999999999</v>
      </c>
      <c r="P174" s="274">
        <v>48.441000000000003</v>
      </c>
      <c r="Q174" s="274">
        <v>48.353000000000002</v>
      </c>
      <c r="R174" s="274">
        <v>48.58</v>
      </c>
      <c r="S174" s="274">
        <v>49.088999999999999</v>
      </c>
      <c r="T174" s="274">
        <v>49.817999999999998</v>
      </c>
      <c r="U174" s="274">
        <v>50.713000000000001</v>
      </c>
      <c r="V174" s="274">
        <v>51.776000000000003</v>
      </c>
      <c r="W174" s="274">
        <v>52.994999999999997</v>
      </c>
      <c r="X174" s="274">
        <v>54.289000000000001</v>
      </c>
      <c r="Y174" s="274">
        <v>55.554000000000002</v>
      </c>
      <c r="Z174" s="274">
        <v>56.712000000000003</v>
      </c>
      <c r="AA174" s="274">
        <v>57.710999999999999</v>
      </c>
      <c r="AB174" s="274">
        <v>58.563000000000002</v>
      </c>
      <c r="AC174" s="274">
        <v>59.326000000000001</v>
      </c>
      <c r="AD174" s="274">
        <v>60.097999999999999</v>
      </c>
      <c r="AE174" s="274">
        <v>60.941000000000003</v>
      </c>
      <c r="AF174" s="274">
        <v>61.9</v>
      </c>
      <c r="AG174" s="274">
        <v>62.933999999999997</v>
      </c>
      <c r="AH174" s="274">
        <v>63.917999999999999</v>
      </c>
      <c r="AI174" s="274">
        <v>64.680000000000007</v>
      </c>
      <c r="AJ174" s="274">
        <v>65.108000000000004</v>
      </c>
      <c r="AK174" s="274">
        <v>65.128</v>
      </c>
      <c r="AL174" s="274">
        <v>64.816999999999993</v>
      </c>
      <c r="AM174" s="274">
        <v>64.403999999999996</v>
      </c>
      <c r="AN174" s="274">
        <v>64.206999999999994</v>
      </c>
      <c r="AO174" s="274">
        <v>64.445999999999998</v>
      </c>
      <c r="AP174" s="274">
        <v>65.224999999999994</v>
      </c>
      <c r="AQ174" s="274">
        <v>66.448999999999998</v>
      </c>
      <c r="AR174" s="274">
        <v>67.902000000000001</v>
      </c>
      <c r="AS174" s="274">
        <v>69.265000000000001</v>
      </c>
      <c r="AT174" s="274">
        <v>70.311999999999998</v>
      </c>
      <c r="AU174" s="274">
        <v>70.962999999999994</v>
      </c>
      <c r="AV174" s="274">
        <v>71.305999999999997</v>
      </c>
      <c r="AW174" s="274">
        <v>71.486000000000004</v>
      </c>
      <c r="AX174" s="274">
        <v>71.725999999999999</v>
      </c>
      <c r="AY174" s="274">
        <v>72.180999999999997</v>
      </c>
      <c r="AZ174" s="274">
        <v>72.899000000000001</v>
      </c>
      <c r="BA174" s="274">
        <v>73.816999999999993</v>
      </c>
      <c r="BB174" s="274">
        <v>74.852999999999994</v>
      </c>
      <c r="BC174" s="274">
        <v>75.879000000000005</v>
      </c>
      <c r="BD174" s="274">
        <v>76.805999999999997</v>
      </c>
      <c r="BE174" s="274">
        <v>77.608000000000004</v>
      </c>
      <c r="BF174" s="274">
        <v>78.317999999999998</v>
      </c>
      <c r="BG174" s="274">
        <v>78.974999999999994</v>
      </c>
      <c r="BH174" s="274">
        <v>79.635999999999996</v>
      </c>
      <c r="BI174" s="274">
        <v>80.344999999999999</v>
      </c>
      <c r="BJ174" s="274">
        <v>81.11</v>
      </c>
      <c r="BK174" s="274">
        <v>81.914000000000001</v>
      </c>
      <c r="BL174" s="274">
        <v>82.736999999999995</v>
      </c>
      <c r="BM174" s="274">
        <v>83.548000000000002</v>
      </c>
      <c r="BN174" s="274">
        <v>84.326999999999998</v>
      </c>
      <c r="BO174" s="274">
        <v>85.069000000000003</v>
      </c>
      <c r="BP174" s="274">
        <v>85.778999999999996</v>
      </c>
      <c r="BQ174" s="274">
        <v>86.462000000000003</v>
      </c>
      <c r="BR174" s="274">
        <v>87.126999999999995</v>
      </c>
      <c r="BS174" s="274">
        <v>87.78</v>
      </c>
    </row>
    <row r="175" spans="1:71" x14ac:dyDescent="0.4">
      <c r="A175" s="270">
        <v>156</v>
      </c>
      <c r="B175" s="271" t="s">
        <v>890</v>
      </c>
      <c r="C175" s="276" t="s">
        <v>516</v>
      </c>
      <c r="D175" s="273"/>
      <c r="E175" s="273">
        <v>428</v>
      </c>
      <c r="F175" s="274">
        <v>1949</v>
      </c>
      <c r="G175" s="274">
        <v>1954.829</v>
      </c>
      <c r="H175" s="274">
        <v>1965.114</v>
      </c>
      <c r="I175" s="274">
        <v>1979.028</v>
      </c>
      <c r="J175" s="274">
        <v>1995.8589999999999</v>
      </c>
      <c r="K175" s="274">
        <v>2015.009</v>
      </c>
      <c r="L175" s="274">
        <v>2035.9960000000001</v>
      </c>
      <c r="M175" s="274">
        <v>2058.4569999999999</v>
      </c>
      <c r="N175" s="274">
        <v>2082.127</v>
      </c>
      <c r="O175" s="274">
        <v>2106.8209999999999</v>
      </c>
      <c r="P175" s="274">
        <v>2132.3679999999999</v>
      </c>
      <c r="Q175" s="274">
        <v>2158.5459999999998</v>
      </c>
      <c r="R175" s="274">
        <v>2185.0160000000001</v>
      </c>
      <c r="S175" s="274">
        <v>2211.297</v>
      </c>
      <c r="T175" s="274">
        <v>2236.8440000000001</v>
      </c>
      <c r="U175" s="274">
        <v>2261.259</v>
      </c>
      <c r="V175" s="274">
        <v>2284.2139999999999</v>
      </c>
      <c r="W175" s="274">
        <v>2305.7179999999998</v>
      </c>
      <c r="X175" s="274">
        <v>2326.1280000000002</v>
      </c>
      <c r="Y175" s="274">
        <v>2346.0120000000002</v>
      </c>
      <c r="Z175" s="274">
        <v>2365.7530000000002</v>
      </c>
      <c r="AA175" s="274">
        <v>2385.5610000000001</v>
      </c>
      <c r="AB175" s="274">
        <v>2405.212</v>
      </c>
      <c r="AC175" s="274">
        <v>2424.1489999999999</v>
      </c>
      <c r="AD175" s="274">
        <v>2441.5880000000002</v>
      </c>
      <c r="AE175" s="274">
        <v>2457.027</v>
      </c>
      <c r="AF175" s="274">
        <v>2470.2629999999999</v>
      </c>
      <c r="AG175" s="274">
        <v>2481.66</v>
      </c>
      <c r="AH175" s="274">
        <v>2491.98</v>
      </c>
      <c r="AI175" s="274">
        <v>2502.2939999999999</v>
      </c>
      <c r="AJ175" s="274">
        <v>2513.3969999999999</v>
      </c>
      <c r="AK175" s="274">
        <v>2524.8429999999998</v>
      </c>
      <c r="AL175" s="274">
        <v>2536.34</v>
      </c>
      <c r="AM175" s="274">
        <v>2548.9409999999998</v>
      </c>
      <c r="AN175" s="274">
        <v>2564.0059999999999</v>
      </c>
      <c r="AO175" s="274">
        <v>2582.0790000000002</v>
      </c>
      <c r="AP175" s="274">
        <v>2604.4839999999999</v>
      </c>
      <c r="AQ175" s="274">
        <v>2629.8310000000001</v>
      </c>
      <c r="AR175" s="274">
        <v>2652.6840000000002</v>
      </c>
      <c r="AS175" s="274">
        <v>2665.7109999999998</v>
      </c>
      <c r="AT175" s="274">
        <v>2663.9850000000001</v>
      </c>
      <c r="AU175" s="274">
        <v>2645.056</v>
      </c>
      <c r="AV175" s="274">
        <v>2611.306</v>
      </c>
      <c r="AW175" s="274">
        <v>2568.6030000000001</v>
      </c>
      <c r="AX175" s="274">
        <v>2525.444</v>
      </c>
      <c r="AY175" s="274">
        <v>2487.9879999999998</v>
      </c>
      <c r="AZ175" s="274">
        <v>2458.3049999999998</v>
      </c>
      <c r="BA175" s="274">
        <v>2434.6280000000002</v>
      </c>
      <c r="BB175" s="274">
        <v>2414.65</v>
      </c>
      <c r="BC175" s="274">
        <v>2394.5210000000002</v>
      </c>
      <c r="BD175" s="274">
        <v>2371.4810000000002</v>
      </c>
      <c r="BE175" s="274">
        <v>2345.145</v>
      </c>
      <c r="BF175" s="274">
        <v>2316.7310000000002</v>
      </c>
      <c r="BG175" s="274">
        <v>2286.9459999999999</v>
      </c>
      <c r="BH175" s="274">
        <v>2256.9349999999999</v>
      </c>
      <c r="BI175" s="274">
        <v>2227.5590000000002</v>
      </c>
      <c r="BJ175" s="274">
        <v>2199.105</v>
      </c>
      <c r="BK175" s="274">
        <v>2171.3780000000002</v>
      </c>
      <c r="BL175" s="274">
        <v>2144.2150000000001</v>
      </c>
      <c r="BM175" s="274">
        <v>2117.3069999999998</v>
      </c>
      <c r="BN175" s="274">
        <v>2090.5189999999998</v>
      </c>
      <c r="BO175" s="274">
        <v>2063.6610000000001</v>
      </c>
      <c r="BP175" s="274">
        <v>2037.09</v>
      </c>
      <c r="BQ175" s="274">
        <v>2011.857</v>
      </c>
      <c r="BR175" s="274">
        <v>1989.354</v>
      </c>
      <c r="BS175" s="274">
        <v>1970.5029999999999</v>
      </c>
    </row>
    <row r="176" spans="1:71" x14ac:dyDescent="0.4">
      <c r="A176" s="270">
        <v>157</v>
      </c>
      <c r="B176" s="271" t="s">
        <v>890</v>
      </c>
      <c r="C176" s="276" t="s">
        <v>540</v>
      </c>
      <c r="D176" s="273"/>
      <c r="E176" s="273">
        <v>440</v>
      </c>
      <c r="F176" s="274">
        <v>2567.402</v>
      </c>
      <c r="G176" s="274">
        <v>2569.877</v>
      </c>
      <c r="H176" s="274">
        <v>2578.5219999999999</v>
      </c>
      <c r="I176" s="274">
        <v>2591.9989999999998</v>
      </c>
      <c r="J176" s="274">
        <v>2609.2640000000001</v>
      </c>
      <c r="K176" s="274">
        <v>2629.5709999999999</v>
      </c>
      <c r="L176" s="274">
        <v>2652.489</v>
      </c>
      <c r="M176" s="274">
        <v>2677.8850000000002</v>
      </c>
      <c r="N176" s="274">
        <v>2705.875</v>
      </c>
      <c r="O176" s="274">
        <v>2736.748</v>
      </c>
      <c r="P176" s="274">
        <v>2770.7370000000001</v>
      </c>
      <c r="Q176" s="274">
        <v>2807.7629999999999</v>
      </c>
      <c r="R176" s="274">
        <v>2847.221</v>
      </c>
      <c r="S176" s="274">
        <v>2887.8870000000002</v>
      </c>
      <c r="T176" s="274">
        <v>2928.1819999999998</v>
      </c>
      <c r="U176" s="274">
        <v>2966.9470000000001</v>
      </c>
      <c r="V176" s="274">
        <v>3003.5709999999999</v>
      </c>
      <c r="W176" s="274">
        <v>3038.2159999999999</v>
      </c>
      <c r="X176" s="274">
        <v>3071.4650000000001</v>
      </c>
      <c r="Y176" s="274">
        <v>3104.2919999999999</v>
      </c>
      <c r="Z176" s="274">
        <v>3137.373</v>
      </c>
      <c r="AA176" s="274">
        <v>3170.8870000000002</v>
      </c>
      <c r="AB176" s="274">
        <v>3204.4659999999999</v>
      </c>
      <c r="AC176" s="274">
        <v>3237.5970000000002</v>
      </c>
      <c r="AD176" s="274">
        <v>3269.5459999999998</v>
      </c>
      <c r="AE176" s="274">
        <v>3299.819</v>
      </c>
      <c r="AF176" s="274">
        <v>3328.2449999999999</v>
      </c>
      <c r="AG176" s="274">
        <v>3355.098</v>
      </c>
      <c r="AH176" s="274">
        <v>3380.8789999999999</v>
      </c>
      <c r="AI176" s="274">
        <v>3406.3110000000001</v>
      </c>
      <c r="AJ176" s="274">
        <v>3431.933</v>
      </c>
      <c r="AK176" s="274">
        <v>3457.3649999999998</v>
      </c>
      <c r="AL176" s="274">
        <v>3482.39</v>
      </c>
      <c r="AM176" s="274">
        <v>3507.8389999999999</v>
      </c>
      <c r="AN176" s="274">
        <v>3534.8040000000001</v>
      </c>
      <c r="AO176" s="274">
        <v>3563.741</v>
      </c>
      <c r="AP176" s="274">
        <v>3595.3620000000001</v>
      </c>
      <c r="AQ176" s="274">
        <v>3628.5320000000002</v>
      </c>
      <c r="AR176" s="274">
        <v>3659.6129999999998</v>
      </c>
      <c r="AS176" s="274">
        <v>3683.7109999999998</v>
      </c>
      <c r="AT176" s="274">
        <v>3697.393</v>
      </c>
      <c r="AU176" s="274">
        <v>3699.3519999999999</v>
      </c>
      <c r="AV176" s="274">
        <v>3690.788</v>
      </c>
      <c r="AW176" s="274">
        <v>3673.9059999999999</v>
      </c>
      <c r="AX176" s="274">
        <v>3652.12</v>
      </c>
      <c r="AY176" s="274">
        <v>3628.0790000000002</v>
      </c>
      <c r="AZ176" s="274">
        <v>3602.1640000000002</v>
      </c>
      <c r="BA176" s="274">
        <v>3574.0140000000001</v>
      </c>
      <c r="BB176" s="274">
        <v>3544.6680000000001</v>
      </c>
      <c r="BC176" s="274">
        <v>3515.2179999999998</v>
      </c>
      <c r="BD176" s="274">
        <v>3486.373</v>
      </c>
      <c r="BE176" s="274">
        <v>3458.9229999999998</v>
      </c>
      <c r="BF176" s="274">
        <v>3432.663</v>
      </c>
      <c r="BG176" s="274">
        <v>3406.03</v>
      </c>
      <c r="BH176" s="274">
        <v>3376.761</v>
      </c>
      <c r="BI176" s="274">
        <v>3343.268</v>
      </c>
      <c r="BJ176" s="274">
        <v>3305.529</v>
      </c>
      <c r="BK176" s="274">
        <v>3264.3040000000001</v>
      </c>
      <c r="BL176" s="274">
        <v>3219.8020000000001</v>
      </c>
      <c r="BM176" s="274">
        <v>3172.4360000000001</v>
      </c>
      <c r="BN176" s="274">
        <v>3122.835</v>
      </c>
      <c r="BO176" s="274">
        <v>3070.5929999999998</v>
      </c>
      <c r="BP176" s="274">
        <v>3016.4960000000001</v>
      </c>
      <c r="BQ176" s="274">
        <v>2963.81</v>
      </c>
      <c r="BR176" s="274">
        <v>2916.7979999999998</v>
      </c>
      <c r="BS176" s="274">
        <v>2878.4050000000002</v>
      </c>
    </row>
    <row r="177" spans="1:71" x14ac:dyDescent="0.4">
      <c r="A177" s="270">
        <v>158</v>
      </c>
      <c r="B177" s="271" t="s">
        <v>890</v>
      </c>
      <c r="C177" s="276" t="s">
        <v>630</v>
      </c>
      <c r="D177" s="273">
        <v>17</v>
      </c>
      <c r="E177" s="273">
        <v>578</v>
      </c>
      <c r="F177" s="274">
        <v>3265.2779999999998</v>
      </c>
      <c r="G177" s="274">
        <v>3300.422</v>
      </c>
      <c r="H177" s="274">
        <v>3333.895</v>
      </c>
      <c r="I177" s="274">
        <v>3366.2809999999999</v>
      </c>
      <c r="J177" s="274">
        <v>3398.0279999999998</v>
      </c>
      <c r="K177" s="274">
        <v>3429.431</v>
      </c>
      <c r="L177" s="274">
        <v>3460.64</v>
      </c>
      <c r="M177" s="274">
        <v>3491.6570000000002</v>
      </c>
      <c r="N177" s="274">
        <v>3522.3609999999999</v>
      </c>
      <c r="O177" s="274">
        <v>3552.5450000000001</v>
      </c>
      <c r="P177" s="274">
        <v>3582.0160000000001</v>
      </c>
      <c r="Q177" s="274">
        <v>3610.71</v>
      </c>
      <c r="R177" s="274">
        <v>3638.7910000000002</v>
      </c>
      <c r="S177" s="274">
        <v>3666.69</v>
      </c>
      <c r="T177" s="274">
        <v>3694.9870000000001</v>
      </c>
      <c r="U177" s="274">
        <v>3724.0650000000001</v>
      </c>
      <c r="V177" s="274">
        <v>3754.01</v>
      </c>
      <c r="W177" s="274">
        <v>3784.5790000000002</v>
      </c>
      <c r="X177" s="274">
        <v>3815.3989999999999</v>
      </c>
      <c r="Y177" s="274">
        <v>3845.9319999999998</v>
      </c>
      <c r="Z177" s="274">
        <v>3875.7190000000001</v>
      </c>
      <c r="AA177" s="274">
        <v>3904.75</v>
      </c>
      <c r="AB177" s="274">
        <v>3932.9450000000002</v>
      </c>
      <c r="AC177" s="274">
        <v>3959.7049999999999</v>
      </c>
      <c r="AD177" s="274">
        <v>3984.2910000000002</v>
      </c>
      <c r="AE177" s="274">
        <v>4006.221</v>
      </c>
      <c r="AF177" s="274">
        <v>4025.297</v>
      </c>
      <c r="AG177" s="274">
        <v>4041.7890000000002</v>
      </c>
      <c r="AH177" s="274">
        <v>4056.28</v>
      </c>
      <c r="AI177" s="274">
        <v>4069.6260000000002</v>
      </c>
      <c r="AJ177" s="274">
        <v>4082.5250000000001</v>
      </c>
      <c r="AK177" s="274">
        <v>4095.1770000000001</v>
      </c>
      <c r="AL177" s="274">
        <v>4107.6549999999997</v>
      </c>
      <c r="AM177" s="274">
        <v>4120.3860000000004</v>
      </c>
      <c r="AN177" s="274">
        <v>4133.8329999999996</v>
      </c>
      <c r="AO177" s="274">
        <v>4148.3549999999996</v>
      </c>
      <c r="AP177" s="274">
        <v>4164.1660000000002</v>
      </c>
      <c r="AQ177" s="274">
        <v>4181.326</v>
      </c>
      <c r="AR177" s="274">
        <v>4199.817</v>
      </c>
      <c r="AS177" s="274">
        <v>4219.5320000000002</v>
      </c>
      <c r="AT177" s="274">
        <v>4240.375</v>
      </c>
      <c r="AU177" s="274">
        <v>4262.3670000000002</v>
      </c>
      <c r="AV177" s="274">
        <v>4285.5039999999999</v>
      </c>
      <c r="AW177" s="274">
        <v>4309.6059999999998</v>
      </c>
      <c r="AX177" s="274">
        <v>4334.4340000000002</v>
      </c>
      <c r="AY177" s="274">
        <v>4359.7879999999996</v>
      </c>
      <c r="AZ177" s="274">
        <v>4385.951</v>
      </c>
      <c r="BA177" s="274">
        <v>4412.9579999999996</v>
      </c>
      <c r="BB177" s="274">
        <v>4440.1090000000004</v>
      </c>
      <c r="BC177" s="274">
        <v>4466.4679999999998</v>
      </c>
      <c r="BD177" s="274">
        <v>4491.5720000000001</v>
      </c>
      <c r="BE177" s="274">
        <v>4514.9070000000002</v>
      </c>
      <c r="BF177" s="274">
        <v>4537.24</v>
      </c>
      <c r="BG177" s="274">
        <v>4560.9470000000001</v>
      </c>
      <c r="BH177" s="274">
        <v>4589.241</v>
      </c>
      <c r="BI177" s="274">
        <v>4624.3879999999999</v>
      </c>
      <c r="BJ177" s="274">
        <v>4667.1049999999996</v>
      </c>
      <c r="BK177" s="274">
        <v>4716.5839999999998</v>
      </c>
      <c r="BL177" s="274">
        <v>4771.6329999999998</v>
      </c>
      <c r="BM177" s="274">
        <v>4830.3710000000001</v>
      </c>
      <c r="BN177" s="274">
        <v>4891.2510000000002</v>
      </c>
      <c r="BO177" s="274">
        <v>4953.9449999999997</v>
      </c>
      <c r="BP177" s="274">
        <v>5018.3670000000002</v>
      </c>
      <c r="BQ177" s="274">
        <v>5083.45</v>
      </c>
      <c r="BR177" s="274">
        <v>5147.97</v>
      </c>
      <c r="BS177" s="274">
        <v>5210.9669999999996</v>
      </c>
    </row>
    <row r="178" spans="1:71" x14ac:dyDescent="0.4">
      <c r="A178" s="270">
        <v>159</v>
      </c>
      <c r="B178" s="271" t="s">
        <v>890</v>
      </c>
      <c r="C178" s="276" t="s">
        <v>775</v>
      </c>
      <c r="D178" s="273"/>
      <c r="E178" s="273">
        <v>752</v>
      </c>
      <c r="F178" s="274">
        <v>7009.9129999999996</v>
      </c>
      <c r="G178" s="274">
        <v>7072.08</v>
      </c>
      <c r="H178" s="274">
        <v>7125.5389999999998</v>
      </c>
      <c r="I178" s="274">
        <v>7173.1210000000001</v>
      </c>
      <c r="J178" s="274">
        <v>7217.1760000000004</v>
      </c>
      <c r="K178" s="274">
        <v>7259.5789999999997</v>
      </c>
      <c r="L178" s="274">
        <v>7301.7079999999996</v>
      </c>
      <c r="M178" s="274">
        <v>7344.4660000000003</v>
      </c>
      <c r="N178" s="274">
        <v>7388.317</v>
      </c>
      <c r="O178" s="274">
        <v>7433.3729999999996</v>
      </c>
      <c r="P178" s="274">
        <v>7479.6019999999999</v>
      </c>
      <c r="Q178" s="274">
        <v>7527.0810000000001</v>
      </c>
      <c r="R178" s="274">
        <v>7576.192</v>
      </c>
      <c r="S178" s="274">
        <v>7627.7219999999998</v>
      </c>
      <c r="T178" s="274">
        <v>7682.6030000000001</v>
      </c>
      <c r="U178" s="274">
        <v>7741.1670000000004</v>
      </c>
      <c r="V178" s="274">
        <v>7804.2</v>
      </c>
      <c r="W178" s="274">
        <v>7870.6419999999998</v>
      </c>
      <c r="X178" s="274">
        <v>7936.7259999999997</v>
      </c>
      <c r="Y178" s="274">
        <v>7997.38</v>
      </c>
      <c r="Z178" s="274">
        <v>8049.049</v>
      </c>
      <c r="AA178" s="274">
        <v>8090.0439999999999</v>
      </c>
      <c r="AB178" s="274">
        <v>8121.56</v>
      </c>
      <c r="AC178" s="274">
        <v>8146.4719999999998</v>
      </c>
      <c r="AD178" s="274">
        <v>8169.1409999999996</v>
      </c>
      <c r="AE178" s="274">
        <v>8192.6929999999993</v>
      </c>
      <c r="AF178" s="274">
        <v>8218.6299999999992</v>
      </c>
      <c r="AG178" s="274">
        <v>8245.9750000000004</v>
      </c>
      <c r="AH178" s="274">
        <v>8272.4989999999998</v>
      </c>
      <c r="AI178" s="274">
        <v>8294.8320000000003</v>
      </c>
      <c r="AJ178" s="274">
        <v>8310.9150000000009</v>
      </c>
      <c r="AK178" s="274">
        <v>8319.81</v>
      </c>
      <c r="AL178" s="274">
        <v>8323.4660000000003</v>
      </c>
      <c r="AM178" s="274">
        <v>8326.1959999999999</v>
      </c>
      <c r="AN178" s="274">
        <v>8333.9040000000005</v>
      </c>
      <c r="AO178" s="274">
        <v>8350.8140000000003</v>
      </c>
      <c r="AP178" s="274">
        <v>8377.8629999999994</v>
      </c>
      <c r="AQ178" s="274">
        <v>8413.6579999999994</v>
      </c>
      <c r="AR178" s="274">
        <v>8457.1080000000002</v>
      </c>
      <c r="AS178" s="274">
        <v>8506.2360000000008</v>
      </c>
      <c r="AT178" s="274">
        <v>8559.107</v>
      </c>
      <c r="AU178" s="274">
        <v>8616.5349999999999</v>
      </c>
      <c r="AV178" s="274">
        <v>8677.7870000000003</v>
      </c>
      <c r="AW178" s="274">
        <v>8737.5</v>
      </c>
      <c r="AX178" s="274">
        <v>8788.6959999999999</v>
      </c>
      <c r="AY178" s="274">
        <v>8826.7199999999993</v>
      </c>
      <c r="AZ178" s="274">
        <v>8849.42</v>
      </c>
      <c r="BA178" s="274">
        <v>8859.1059999999998</v>
      </c>
      <c r="BB178" s="274">
        <v>8861.2039999999997</v>
      </c>
      <c r="BC178" s="274">
        <v>8863.5949999999993</v>
      </c>
      <c r="BD178" s="274">
        <v>8872.2839999999997</v>
      </c>
      <c r="BE178" s="274">
        <v>8888.6749999999993</v>
      </c>
      <c r="BF178" s="274">
        <v>8911.8989999999994</v>
      </c>
      <c r="BG178" s="274">
        <v>8942.9259999999995</v>
      </c>
      <c r="BH178" s="274">
        <v>8982.2819999999992</v>
      </c>
      <c r="BI178" s="274">
        <v>9030.1630000000005</v>
      </c>
      <c r="BJ178" s="274">
        <v>9087.2510000000002</v>
      </c>
      <c r="BK178" s="274">
        <v>9153.3160000000007</v>
      </c>
      <c r="BL178" s="274">
        <v>9226.3330000000005</v>
      </c>
      <c r="BM178" s="274">
        <v>9303.4320000000007</v>
      </c>
      <c r="BN178" s="274">
        <v>9382.2970000000005</v>
      </c>
      <c r="BO178" s="274">
        <v>9462.3520000000008</v>
      </c>
      <c r="BP178" s="274">
        <v>9543.4570000000003</v>
      </c>
      <c r="BQ178" s="274">
        <v>9624.2469999999994</v>
      </c>
      <c r="BR178" s="274">
        <v>9703.2469999999994</v>
      </c>
      <c r="BS178" s="274">
        <v>9779.4259999999995</v>
      </c>
    </row>
    <row r="179" spans="1:71" x14ac:dyDescent="0.4">
      <c r="A179" s="270">
        <v>160</v>
      </c>
      <c r="B179" s="271" t="s">
        <v>890</v>
      </c>
      <c r="C179" s="276" t="s">
        <v>835</v>
      </c>
      <c r="D179" s="273"/>
      <c r="E179" s="273">
        <v>826</v>
      </c>
      <c r="F179" s="274">
        <v>50616.012000000002</v>
      </c>
      <c r="G179" s="274">
        <v>50620.538</v>
      </c>
      <c r="H179" s="274">
        <v>50683.595999999998</v>
      </c>
      <c r="I179" s="274">
        <v>50792.671000000002</v>
      </c>
      <c r="J179" s="274">
        <v>50938.226999999999</v>
      </c>
      <c r="K179" s="274">
        <v>51113.711000000003</v>
      </c>
      <c r="L179" s="274">
        <v>51315.724000000002</v>
      </c>
      <c r="M179" s="274">
        <v>51543.847000000002</v>
      </c>
      <c r="N179" s="274">
        <v>51800.116999999998</v>
      </c>
      <c r="O179" s="274">
        <v>52088.146999999997</v>
      </c>
      <c r="P179" s="274">
        <v>52410.495999999999</v>
      </c>
      <c r="Q179" s="274">
        <v>52765.864000000001</v>
      </c>
      <c r="R179" s="274">
        <v>53146.633999999998</v>
      </c>
      <c r="S179" s="274">
        <v>53537.821000000004</v>
      </c>
      <c r="T179" s="274">
        <v>53920.055</v>
      </c>
      <c r="U179" s="274">
        <v>54278.349000000002</v>
      </c>
      <c r="V179" s="274">
        <v>54606.608</v>
      </c>
      <c r="W179" s="274">
        <v>54904.68</v>
      </c>
      <c r="X179" s="274">
        <v>55171.084000000003</v>
      </c>
      <c r="Y179" s="274">
        <v>55406.434999999998</v>
      </c>
      <c r="Z179" s="274">
        <v>55611.400999999998</v>
      </c>
      <c r="AA179" s="274">
        <v>55785.324999999997</v>
      </c>
      <c r="AB179" s="274">
        <v>55927.491999999998</v>
      </c>
      <c r="AC179" s="274">
        <v>56039.165999999997</v>
      </c>
      <c r="AD179" s="274">
        <v>56122.404999999999</v>
      </c>
      <c r="AE179" s="274">
        <v>56179.925000000003</v>
      </c>
      <c r="AF179" s="274">
        <v>56212.942999999999</v>
      </c>
      <c r="AG179" s="274">
        <v>56224.944000000003</v>
      </c>
      <c r="AH179" s="274">
        <v>56223.974000000002</v>
      </c>
      <c r="AI179" s="274">
        <v>56220.089</v>
      </c>
      <c r="AJ179" s="274">
        <v>56221.512999999999</v>
      </c>
      <c r="AK179" s="274">
        <v>56231.02</v>
      </c>
      <c r="AL179" s="274">
        <v>56250.124000000003</v>
      </c>
      <c r="AM179" s="274">
        <v>56283.959000000003</v>
      </c>
      <c r="AN179" s="274">
        <v>56337.847999999998</v>
      </c>
      <c r="AO179" s="274">
        <v>56415.196000000004</v>
      </c>
      <c r="AP179" s="274">
        <v>56519.444000000003</v>
      </c>
      <c r="AQ179" s="274">
        <v>56649.375</v>
      </c>
      <c r="AR179" s="274">
        <v>56797.703999999998</v>
      </c>
      <c r="AS179" s="274">
        <v>56953.860999999997</v>
      </c>
      <c r="AT179" s="274">
        <v>57110.116999999998</v>
      </c>
      <c r="AU179" s="274">
        <v>57264.6</v>
      </c>
      <c r="AV179" s="274">
        <v>57419.468999999997</v>
      </c>
      <c r="AW179" s="274">
        <v>57575.968999999997</v>
      </c>
      <c r="AX179" s="274">
        <v>57736.667000000001</v>
      </c>
      <c r="AY179" s="274">
        <v>57903.79</v>
      </c>
      <c r="AZ179" s="274">
        <v>58079.322</v>
      </c>
      <c r="BA179" s="274">
        <v>58263.858</v>
      </c>
      <c r="BB179" s="274">
        <v>58456.989000000001</v>
      </c>
      <c r="BC179" s="274">
        <v>58657.794000000002</v>
      </c>
      <c r="BD179" s="274">
        <v>58867.004000000001</v>
      </c>
      <c r="BE179" s="274">
        <v>59080.220999999998</v>
      </c>
      <c r="BF179" s="274">
        <v>59301.235000000001</v>
      </c>
      <c r="BG179" s="274">
        <v>59548.421000000002</v>
      </c>
      <c r="BH179" s="274">
        <v>59846.226000000002</v>
      </c>
      <c r="BI179" s="274">
        <v>60210.012000000002</v>
      </c>
      <c r="BJ179" s="274">
        <v>60648.85</v>
      </c>
      <c r="BK179" s="274">
        <v>61151.82</v>
      </c>
      <c r="BL179" s="274">
        <v>61689.62</v>
      </c>
      <c r="BM179" s="274">
        <v>62221.163999999997</v>
      </c>
      <c r="BN179" s="274">
        <v>62716.684000000001</v>
      </c>
      <c r="BO179" s="274">
        <v>63164.949000000001</v>
      </c>
      <c r="BP179" s="274">
        <v>63573.766000000003</v>
      </c>
      <c r="BQ179" s="274">
        <v>63955.654000000002</v>
      </c>
      <c r="BR179" s="274">
        <v>64331.347999999998</v>
      </c>
      <c r="BS179" s="274">
        <v>64715.81</v>
      </c>
    </row>
    <row r="180" spans="1:71" x14ac:dyDescent="0.4">
      <c r="A180" s="270">
        <v>161</v>
      </c>
      <c r="B180" s="271" t="s">
        <v>890</v>
      </c>
      <c r="C180" s="277" t="s">
        <v>937</v>
      </c>
      <c r="D180" s="273"/>
      <c r="E180" s="273">
        <v>925</v>
      </c>
      <c r="F180" s="274">
        <v>108632.97900000001</v>
      </c>
      <c r="G180" s="274">
        <v>109581.659</v>
      </c>
      <c r="H180" s="274">
        <v>110552.501</v>
      </c>
      <c r="I180" s="274">
        <v>111520.08199999999</v>
      </c>
      <c r="J180" s="274">
        <v>112467.73</v>
      </c>
      <c r="K180" s="274">
        <v>113387.516</v>
      </c>
      <c r="L180" s="274">
        <v>114280.745</v>
      </c>
      <c r="M180" s="274">
        <v>115157.47500000001</v>
      </c>
      <c r="N180" s="274">
        <v>116035.054</v>
      </c>
      <c r="O180" s="274">
        <v>116935.719</v>
      </c>
      <c r="P180" s="274">
        <v>117879.333</v>
      </c>
      <c r="Q180" s="274">
        <v>118875.66800000001</v>
      </c>
      <c r="R180" s="274">
        <v>119917.621</v>
      </c>
      <c r="S180" s="274">
        <v>120978.329</v>
      </c>
      <c r="T180" s="274">
        <v>122019.375</v>
      </c>
      <c r="U180" s="274">
        <v>123014.96799999999</v>
      </c>
      <c r="V180" s="274">
        <v>123951.81600000001</v>
      </c>
      <c r="W180" s="274">
        <v>124843.29300000001</v>
      </c>
      <c r="X180" s="274">
        <v>125722.36500000001</v>
      </c>
      <c r="Y180" s="274">
        <v>126636.197</v>
      </c>
      <c r="Z180" s="274">
        <v>127617.327</v>
      </c>
      <c r="AA180" s="274">
        <v>128673.041</v>
      </c>
      <c r="AB180" s="274">
        <v>129787.61</v>
      </c>
      <c r="AC180" s="274">
        <v>130941.86900000001</v>
      </c>
      <c r="AD180" s="274">
        <v>132106.902</v>
      </c>
      <c r="AE180" s="274">
        <v>133258.524</v>
      </c>
      <c r="AF180" s="274">
        <v>134392.02100000001</v>
      </c>
      <c r="AG180" s="274">
        <v>135504.296</v>
      </c>
      <c r="AH180" s="274">
        <v>136574.277</v>
      </c>
      <c r="AI180" s="274">
        <v>137577.25099999999</v>
      </c>
      <c r="AJ180" s="274">
        <v>138495.01800000001</v>
      </c>
      <c r="AK180" s="274">
        <v>139318.25099999999</v>
      </c>
      <c r="AL180" s="274">
        <v>140048.16699999999</v>
      </c>
      <c r="AM180" s="274">
        <v>140691.06099999999</v>
      </c>
      <c r="AN180" s="274">
        <v>141258.88800000001</v>
      </c>
      <c r="AO180" s="274">
        <v>141761.59700000001</v>
      </c>
      <c r="AP180" s="274">
        <v>142202.15100000001</v>
      </c>
      <c r="AQ180" s="274">
        <v>142580.99100000001</v>
      </c>
      <c r="AR180" s="274">
        <v>142903.44899999999</v>
      </c>
      <c r="AS180" s="274">
        <v>143175.54699999999</v>
      </c>
      <c r="AT180" s="274">
        <v>143403.79300000001</v>
      </c>
      <c r="AU180" s="274">
        <v>143600.96100000001</v>
      </c>
      <c r="AV180" s="274">
        <v>143775.71100000001</v>
      </c>
      <c r="AW180" s="274">
        <v>143926.64499999999</v>
      </c>
      <c r="AX180" s="274">
        <v>144049.19399999999</v>
      </c>
      <c r="AY180" s="274">
        <v>144146.54800000001</v>
      </c>
      <c r="AZ180" s="274">
        <v>144207.109</v>
      </c>
      <c r="BA180" s="274">
        <v>144250.9</v>
      </c>
      <c r="BB180" s="274">
        <v>144349.709</v>
      </c>
      <c r="BC180" s="274">
        <v>144597.97700000001</v>
      </c>
      <c r="BD180" s="274">
        <v>145058.07</v>
      </c>
      <c r="BE180" s="274">
        <v>145751.33300000001</v>
      </c>
      <c r="BF180" s="274">
        <v>146642.39000000001</v>
      </c>
      <c r="BG180" s="274">
        <v>147664.64799999999</v>
      </c>
      <c r="BH180" s="274">
        <v>148721.67300000001</v>
      </c>
      <c r="BI180" s="274">
        <v>149735.39499999999</v>
      </c>
      <c r="BJ180" s="274">
        <v>150697.11799999999</v>
      </c>
      <c r="BK180" s="274">
        <v>151604.736</v>
      </c>
      <c r="BL180" s="274">
        <v>152395.58499999999</v>
      </c>
      <c r="BM180" s="274">
        <v>152996.288</v>
      </c>
      <c r="BN180" s="274">
        <v>153360.03599999999</v>
      </c>
      <c r="BO180" s="274">
        <v>153450.66200000001</v>
      </c>
      <c r="BP180" s="274">
        <v>153292.45600000001</v>
      </c>
      <c r="BQ180" s="274">
        <v>152975.622</v>
      </c>
      <c r="BR180" s="274">
        <v>152629.28599999999</v>
      </c>
      <c r="BS180" s="274">
        <v>152347.89199999999</v>
      </c>
    </row>
    <row r="181" spans="1:71" x14ac:dyDescent="0.4">
      <c r="A181" s="270">
        <v>162</v>
      </c>
      <c r="B181" s="271" t="s">
        <v>890</v>
      </c>
      <c r="C181" s="276" t="s">
        <v>187</v>
      </c>
      <c r="D181" s="273"/>
      <c r="E181" s="273">
        <v>8</v>
      </c>
      <c r="F181" s="274">
        <v>1263.171</v>
      </c>
      <c r="G181" s="274">
        <v>1287.499</v>
      </c>
      <c r="H181" s="274">
        <v>1316.086</v>
      </c>
      <c r="I181" s="274">
        <v>1348.097</v>
      </c>
      <c r="J181" s="274">
        <v>1382.8810000000001</v>
      </c>
      <c r="K181" s="274">
        <v>1419.9690000000001</v>
      </c>
      <c r="L181" s="274">
        <v>1459.0889999999999</v>
      </c>
      <c r="M181" s="274">
        <v>1500.152</v>
      </c>
      <c r="N181" s="274">
        <v>1543.2239999999999</v>
      </c>
      <c r="O181" s="274">
        <v>1588.4780000000001</v>
      </c>
      <c r="P181" s="274">
        <v>1636.0540000000001</v>
      </c>
      <c r="Q181" s="274">
        <v>1685.9010000000001</v>
      </c>
      <c r="R181" s="274">
        <v>1737.645</v>
      </c>
      <c r="S181" s="274">
        <v>1790.5329999999999</v>
      </c>
      <c r="T181" s="274">
        <v>1843.596</v>
      </c>
      <c r="U181" s="274">
        <v>1896.125</v>
      </c>
      <c r="V181" s="274">
        <v>1947.7860000000001</v>
      </c>
      <c r="W181" s="274">
        <v>1998.6949999999999</v>
      </c>
      <c r="X181" s="274">
        <v>2049.1469999999999</v>
      </c>
      <c r="Y181" s="274">
        <v>2099.6570000000002</v>
      </c>
      <c r="Z181" s="274">
        <v>2150.6019999999999</v>
      </c>
      <c r="AA181" s="274">
        <v>2202.04</v>
      </c>
      <c r="AB181" s="274">
        <v>2253.8420000000001</v>
      </c>
      <c r="AC181" s="274">
        <v>2305.9989999999998</v>
      </c>
      <c r="AD181" s="274">
        <v>2358.4670000000001</v>
      </c>
      <c r="AE181" s="274">
        <v>2411.2289999999998</v>
      </c>
      <c r="AF181" s="274">
        <v>2464.3380000000002</v>
      </c>
      <c r="AG181" s="274">
        <v>2517.8690000000001</v>
      </c>
      <c r="AH181" s="274">
        <v>2571.8449999999998</v>
      </c>
      <c r="AI181" s="274">
        <v>2626.29</v>
      </c>
      <c r="AJ181" s="274">
        <v>2681.2449999999999</v>
      </c>
      <c r="AK181" s="274">
        <v>2735.3290000000002</v>
      </c>
      <c r="AL181" s="274">
        <v>2788.3150000000001</v>
      </c>
      <c r="AM181" s="274">
        <v>2842.62</v>
      </c>
      <c r="AN181" s="274">
        <v>2901.59</v>
      </c>
      <c r="AO181" s="274">
        <v>2966.799</v>
      </c>
      <c r="AP181" s="274">
        <v>3041.0030000000002</v>
      </c>
      <c r="AQ181" s="274">
        <v>3121.3359999999998</v>
      </c>
      <c r="AR181" s="274">
        <v>3197.0639999999999</v>
      </c>
      <c r="AS181" s="274">
        <v>3253.6590000000001</v>
      </c>
      <c r="AT181" s="274">
        <v>3281.453</v>
      </c>
      <c r="AU181" s="274">
        <v>3275.4380000000001</v>
      </c>
      <c r="AV181" s="274">
        <v>3240.6129999999998</v>
      </c>
      <c r="AW181" s="274">
        <v>3189.623</v>
      </c>
      <c r="AX181" s="274">
        <v>3140.634</v>
      </c>
      <c r="AY181" s="274">
        <v>3106.7269999999999</v>
      </c>
      <c r="AZ181" s="274">
        <v>3092.0340000000001</v>
      </c>
      <c r="BA181" s="274">
        <v>3092.471</v>
      </c>
      <c r="BB181" s="274">
        <v>3102.8980000000001</v>
      </c>
      <c r="BC181" s="274">
        <v>3114.8510000000001</v>
      </c>
      <c r="BD181" s="274">
        <v>3121.9650000000001</v>
      </c>
      <c r="BE181" s="274">
        <v>3124.0929999999998</v>
      </c>
      <c r="BF181" s="274">
        <v>3123.1120000000001</v>
      </c>
      <c r="BG181" s="274">
        <v>3117.0450000000001</v>
      </c>
      <c r="BH181" s="274">
        <v>3103.7579999999998</v>
      </c>
      <c r="BI181" s="274">
        <v>3082.172</v>
      </c>
      <c r="BJ181" s="274">
        <v>3050.741</v>
      </c>
      <c r="BK181" s="274">
        <v>3010.8490000000002</v>
      </c>
      <c r="BL181" s="274">
        <v>2968.0259999999998</v>
      </c>
      <c r="BM181" s="274">
        <v>2929.886</v>
      </c>
      <c r="BN181" s="274">
        <v>2901.8829999999998</v>
      </c>
      <c r="BO181" s="274">
        <v>2886.01</v>
      </c>
      <c r="BP181" s="274">
        <v>2880.6669999999999</v>
      </c>
      <c r="BQ181" s="274">
        <v>2883.2809999999999</v>
      </c>
      <c r="BR181" s="274">
        <v>2889.6759999999999</v>
      </c>
      <c r="BS181" s="274">
        <v>2896.6790000000001</v>
      </c>
    </row>
    <row r="182" spans="1:71" x14ac:dyDescent="0.4">
      <c r="A182" s="270">
        <v>163</v>
      </c>
      <c r="B182" s="271" t="s">
        <v>890</v>
      </c>
      <c r="C182" s="276" t="s">
        <v>195</v>
      </c>
      <c r="D182" s="273"/>
      <c r="E182" s="273">
        <v>20</v>
      </c>
      <c r="F182" s="274">
        <v>6.1970000000000001</v>
      </c>
      <c r="G182" s="274">
        <v>6.6920000000000002</v>
      </c>
      <c r="H182" s="274">
        <v>7.25</v>
      </c>
      <c r="I182" s="274">
        <v>7.8630000000000004</v>
      </c>
      <c r="J182" s="274">
        <v>8.5259999999999998</v>
      </c>
      <c r="K182" s="274">
        <v>9.2349999999999994</v>
      </c>
      <c r="L182" s="274">
        <v>9.9870000000000001</v>
      </c>
      <c r="M182" s="274">
        <v>10.781000000000001</v>
      </c>
      <c r="N182" s="274">
        <v>11.616</v>
      </c>
      <c r="O182" s="274">
        <v>12.494</v>
      </c>
      <c r="P182" s="274">
        <v>13.414</v>
      </c>
      <c r="Q182" s="274">
        <v>14.375999999999999</v>
      </c>
      <c r="R182" s="274">
        <v>15.375999999999999</v>
      </c>
      <c r="S182" s="274">
        <v>16.41</v>
      </c>
      <c r="T182" s="274">
        <v>17.47</v>
      </c>
      <c r="U182" s="274">
        <v>18.550999999999998</v>
      </c>
      <c r="V182" s="274">
        <v>19.646000000000001</v>
      </c>
      <c r="W182" s="274">
        <v>20.754999999999999</v>
      </c>
      <c r="X182" s="274">
        <v>21.888000000000002</v>
      </c>
      <c r="Y182" s="274">
        <v>23.061</v>
      </c>
      <c r="Z182" s="274">
        <v>24.279</v>
      </c>
      <c r="AA182" s="274">
        <v>25.56</v>
      </c>
      <c r="AB182" s="274">
        <v>26.891999999999999</v>
      </c>
      <c r="AC182" s="274">
        <v>28.231000000000002</v>
      </c>
      <c r="AD182" s="274">
        <v>29.513999999999999</v>
      </c>
      <c r="AE182" s="274">
        <v>30.706</v>
      </c>
      <c r="AF182" s="274">
        <v>31.780999999999999</v>
      </c>
      <c r="AG182" s="274">
        <v>32.768999999999998</v>
      </c>
      <c r="AH182" s="274">
        <v>33.746000000000002</v>
      </c>
      <c r="AI182" s="274">
        <v>34.819000000000003</v>
      </c>
      <c r="AJ182" s="274">
        <v>36.063000000000002</v>
      </c>
      <c r="AK182" s="274">
        <v>37.502000000000002</v>
      </c>
      <c r="AL182" s="274">
        <v>39.112000000000002</v>
      </c>
      <c r="AM182" s="274">
        <v>40.862000000000002</v>
      </c>
      <c r="AN182" s="274">
        <v>42.704000000000001</v>
      </c>
      <c r="AO182" s="274">
        <v>44.597000000000001</v>
      </c>
      <c r="AP182" s="274">
        <v>46.515000000000001</v>
      </c>
      <c r="AQ182" s="274">
        <v>48.457999999999998</v>
      </c>
      <c r="AR182" s="274">
        <v>50.430999999999997</v>
      </c>
      <c r="AS182" s="274">
        <v>52.448999999999998</v>
      </c>
      <c r="AT182" s="274">
        <v>54.511000000000003</v>
      </c>
      <c r="AU182" s="274">
        <v>56.673999999999999</v>
      </c>
      <c r="AV182" s="274">
        <v>58.904000000000003</v>
      </c>
      <c r="AW182" s="274">
        <v>61.003</v>
      </c>
      <c r="AX182" s="274">
        <v>62.707000000000001</v>
      </c>
      <c r="AY182" s="274">
        <v>63.853999999999999</v>
      </c>
      <c r="AZ182" s="274">
        <v>64.290999999999997</v>
      </c>
      <c r="BA182" s="274">
        <v>64.147000000000006</v>
      </c>
      <c r="BB182" s="274">
        <v>63.887999999999998</v>
      </c>
      <c r="BC182" s="274">
        <v>64.161000000000001</v>
      </c>
      <c r="BD182" s="274">
        <v>65.399000000000001</v>
      </c>
      <c r="BE182" s="274">
        <v>67.77</v>
      </c>
      <c r="BF182" s="274">
        <v>71.046000000000006</v>
      </c>
      <c r="BG182" s="274">
        <v>74.783000000000001</v>
      </c>
      <c r="BH182" s="274">
        <v>78.337000000000003</v>
      </c>
      <c r="BI182" s="274">
        <v>81.222999999999999</v>
      </c>
      <c r="BJ182" s="274">
        <v>83.373000000000005</v>
      </c>
      <c r="BK182" s="274">
        <v>84.878</v>
      </c>
      <c r="BL182" s="274">
        <v>85.616</v>
      </c>
      <c r="BM182" s="274">
        <v>85.474000000000004</v>
      </c>
      <c r="BN182" s="274">
        <v>84.418999999999997</v>
      </c>
      <c r="BO182" s="274">
        <v>82.325999999999993</v>
      </c>
      <c r="BP182" s="274">
        <v>79.316000000000003</v>
      </c>
      <c r="BQ182" s="274">
        <v>75.902000000000001</v>
      </c>
      <c r="BR182" s="274">
        <v>72.786000000000001</v>
      </c>
      <c r="BS182" s="274">
        <v>70.472999999999999</v>
      </c>
    </row>
    <row r="183" spans="1:71" x14ac:dyDescent="0.4">
      <c r="A183" s="270">
        <v>164</v>
      </c>
      <c r="B183" s="271" t="s">
        <v>890</v>
      </c>
      <c r="C183" s="276" t="s">
        <v>262</v>
      </c>
      <c r="D183" s="273"/>
      <c r="E183" s="273">
        <v>70</v>
      </c>
      <c r="F183" s="274">
        <v>2661.2930000000001</v>
      </c>
      <c r="G183" s="274">
        <v>2709.913</v>
      </c>
      <c r="H183" s="274">
        <v>2763.2979999999998</v>
      </c>
      <c r="I183" s="274">
        <v>2819.107</v>
      </c>
      <c r="J183" s="274">
        <v>2875.6410000000001</v>
      </c>
      <c r="K183" s="274">
        <v>2931.8490000000002</v>
      </c>
      <c r="L183" s="274">
        <v>2987.3539999999998</v>
      </c>
      <c r="M183" s="274">
        <v>3042.4279999999999</v>
      </c>
      <c r="N183" s="274">
        <v>3097.8820000000001</v>
      </c>
      <c r="O183" s="274">
        <v>3154.8989999999999</v>
      </c>
      <c r="P183" s="274">
        <v>3214.52</v>
      </c>
      <c r="Q183" s="274">
        <v>3277.096</v>
      </c>
      <c r="R183" s="274">
        <v>3341.8090000000002</v>
      </c>
      <c r="S183" s="274">
        <v>3406.4659999999999</v>
      </c>
      <c r="T183" s="274">
        <v>3468.0830000000001</v>
      </c>
      <c r="U183" s="274">
        <v>3524.596</v>
      </c>
      <c r="V183" s="274">
        <v>3574.9720000000002</v>
      </c>
      <c r="W183" s="274">
        <v>3619.9969999999998</v>
      </c>
      <c r="X183" s="274">
        <v>3661.6419999999998</v>
      </c>
      <c r="Y183" s="274">
        <v>3702.8339999999998</v>
      </c>
      <c r="Z183" s="274">
        <v>3745.6370000000002</v>
      </c>
      <c r="AA183" s="274">
        <v>3790.9479999999999</v>
      </c>
      <c r="AB183" s="274">
        <v>3838.002</v>
      </c>
      <c r="AC183" s="274">
        <v>3885.2289999999998</v>
      </c>
      <c r="AD183" s="274">
        <v>3930.2829999999999</v>
      </c>
      <c r="AE183" s="274">
        <v>3971.6080000000002</v>
      </c>
      <c r="AF183" s="274">
        <v>4008.4110000000001</v>
      </c>
      <c r="AG183" s="274">
        <v>4041.623</v>
      </c>
      <c r="AH183" s="274">
        <v>4073.48</v>
      </c>
      <c r="AI183" s="274">
        <v>4107.1350000000002</v>
      </c>
      <c r="AJ183" s="274">
        <v>4144.7259999999997</v>
      </c>
      <c r="AK183" s="274">
        <v>4185.0739999999996</v>
      </c>
      <c r="AL183" s="274">
        <v>4226.6629999999996</v>
      </c>
      <c r="AM183" s="274">
        <v>4270.598</v>
      </c>
      <c r="AN183" s="274">
        <v>4318.3010000000004</v>
      </c>
      <c r="AO183" s="274">
        <v>4369.527</v>
      </c>
      <c r="AP183" s="274">
        <v>4428.46</v>
      </c>
      <c r="AQ183" s="274">
        <v>4491.7449999999999</v>
      </c>
      <c r="AR183" s="274">
        <v>4542.7569999999996</v>
      </c>
      <c r="AS183" s="274">
        <v>4559.2560000000003</v>
      </c>
      <c r="AT183" s="274">
        <v>4526.9960000000001</v>
      </c>
      <c r="AU183" s="274">
        <v>4437.8980000000001</v>
      </c>
      <c r="AV183" s="274">
        <v>4301.1689999999999</v>
      </c>
      <c r="AW183" s="274">
        <v>4141.1670000000004</v>
      </c>
      <c r="AX183" s="274">
        <v>3992.2559999999999</v>
      </c>
      <c r="AY183" s="274">
        <v>3879.2779999999998</v>
      </c>
      <c r="AZ183" s="274">
        <v>3810.6489999999999</v>
      </c>
      <c r="BA183" s="274">
        <v>3779.3539999999998</v>
      </c>
      <c r="BB183" s="274">
        <v>3775.8980000000001</v>
      </c>
      <c r="BC183" s="274">
        <v>3784.3890000000001</v>
      </c>
      <c r="BD183" s="274">
        <v>3792.8780000000002</v>
      </c>
      <c r="BE183" s="274">
        <v>3799.7469999999998</v>
      </c>
      <c r="BF183" s="274">
        <v>3808.3470000000002</v>
      </c>
      <c r="BG183" s="274">
        <v>3817.3130000000001</v>
      </c>
      <c r="BH183" s="274">
        <v>3825.8719999999998</v>
      </c>
      <c r="BI183" s="274">
        <v>3833.377</v>
      </c>
      <c r="BJ183" s="274">
        <v>3838.5039999999999</v>
      </c>
      <c r="BK183" s="274">
        <v>3840.4180000000001</v>
      </c>
      <c r="BL183" s="274">
        <v>3839.7489999999998</v>
      </c>
      <c r="BM183" s="274">
        <v>3837.732</v>
      </c>
      <c r="BN183" s="274">
        <v>3835.2579999999998</v>
      </c>
      <c r="BO183" s="274">
        <v>3832.31</v>
      </c>
      <c r="BP183" s="274">
        <v>3828.4189999999999</v>
      </c>
      <c r="BQ183" s="274">
        <v>3823.5329999999999</v>
      </c>
      <c r="BR183" s="274">
        <v>3817.5540000000001</v>
      </c>
      <c r="BS183" s="274">
        <v>3810.4160000000002</v>
      </c>
    </row>
    <row r="184" spans="1:71" x14ac:dyDescent="0.4">
      <c r="A184" s="270">
        <v>165</v>
      </c>
      <c r="B184" s="271" t="s">
        <v>890</v>
      </c>
      <c r="C184" s="276" t="s">
        <v>336</v>
      </c>
      <c r="D184" s="273"/>
      <c r="E184" s="273">
        <v>191</v>
      </c>
      <c r="F184" s="274">
        <v>3850.2950000000001</v>
      </c>
      <c r="G184" s="274">
        <v>3886.2220000000002</v>
      </c>
      <c r="H184" s="274">
        <v>3922.6750000000002</v>
      </c>
      <c r="I184" s="274">
        <v>3959.1190000000001</v>
      </c>
      <c r="J184" s="274">
        <v>3995.136</v>
      </c>
      <c r="K184" s="274">
        <v>4030.4180000000001</v>
      </c>
      <c r="L184" s="274">
        <v>4064.7739999999999</v>
      </c>
      <c r="M184" s="274">
        <v>4098.1260000000002</v>
      </c>
      <c r="N184" s="274">
        <v>4130.4930000000004</v>
      </c>
      <c r="O184" s="274">
        <v>4161.9660000000003</v>
      </c>
      <c r="P184" s="274">
        <v>4192.634</v>
      </c>
      <c r="Q184" s="274">
        <v>4222.5020000000004</v>
      </c>
      <c r="R184" s="274">
        <v>4251.4210000000003</v>
      </c>
      <c r="S184" s="274">
        <v>4279.058</v>
      </c>
      <c r="T184" s="274">
        <v>4304.9840000000004</v>
      </c>
      <c r="U184" s="274">
        <v>4328.92</v>
      </c>
      <c r="V184" s="274">
        <v>4350.8149999999996</v>
      </c>
      <c r="W184" s="274">
        <v>4370.8559999999998</v>
      </c>
      <c r="X184" s="274">
        <v>4389.3209999999999</v>
      </c>
      <c r="Y184" s="274">
        <v>4406.607</v>
      </c>
      <c r="Z184" s="274">
        <v>4423.0730000000003</v>
      </c>
      <c r="AA184" s="274">
        <v>4438.8180000000002</v>
      </c>
      <c r="AB184" s="274">
        <v>4453.9849999999997</v>
      </c>
      <c r="AC184" s="274">
        <v>4469.0349999999999</v>
      </c>
      <c r="AD184" s="274">
        <v>4484.5209999999997</v>
      </c>
      <c r="AE184" s="274">
        <v>4500.8680000000004</v>
      </c>
      <c r="AF184" s="274">
        <v>4518.1030000000001</v>
      </c>
      <c r="AG184" s="274">
        <v>4536.1980000000003</v>
      </c>
      <c r="AH184" s="274">
        <v>4555.4129999999996</v>
      </c>
      <c r="AI184" s="274">
        <v>4576.03</v>
      </c>
      <c r="AJ184" s="274">
        <v>4598.1260000000002</v>
      </c>
      <c r="AK184" s="274">
        <v>4621.4179999999997</v>
      </c>
      <c r="AL184" s="274">
        <v>4645.4089999999997</v>
      </c>
      <c r="AM184" s="274">
        <v>4669.6139999999996</v>
      </c>
      <c r="AN184" s="274">
        <v>4693.4319999999998</v>
      </c>
      <c r="AO184" s="274">
        <v>4716.1170000000002</v>
      </c>
      <c r="AP184" s="274">
        <v>4737.9489999999996</v>
      </c>
      <c r="AQ184" s="274">
        <v>4758.152</v>
      </c>
      <c r="AR184" s="274">
        <v>4773.683</v>
      </c>
      <c r="AS184" s="274">
        <v>4780.6270000000004</v>
      </c>
      <c r="AT184" s="274">
        <v>4776.3739999999998</v>
      </c>
      <c r="AU184" s="274">
        <v>4760.0029999999997</v>
      </c>
      <c r="AV184" s="274">
        <v>4732.8639999999996</v>
      </c>
      <c r="AW184" s="274">
        <v>4697.5360000000001</v>
      </c>
      <c r="AX184" s="274">
        <v>4657.799</v>
      </c>
      <c r="AY184" s="274">
        <v>4616.7619999999997</v>
      </c>
      <c r="AZ184" s="274">
        <v>4574.8530000000001</v>
      </c>
      <c r="BA184" s="274">
        <v>4532.2979999999998</v>
      </c>
      <c r="BB184" s="274">
        <v>4491.7420000000002</v>
      </c>
      <c r="BC184" s="274">
        <v>4456.2979999999998</v>
      </c>
      <c r="BD184" s="274">
        <v>4428.0690000000004</v>
      </c>
      <c r="BE184" s="274">
        <v>4408.4579999999996</v>
      </c>
      <c r="BF184" s="274">
        <v>4396.7650000000003</v>
      </c>
      <c r="BG184" s="274">
        <v>4390.2910000000002</v>
      </c>
      <c r="BH184" s="274">
        <v>4385.0450000000001</v>
      </c>
      <c r="BI184" s="274">
        <v>4378.0559999999996</v>
      </c>
      <c r="BJ184" s="274">
        <v>4368.518</v>
      </c>
      <c r="BK184" s="274">
        <v>4357.1139999999996</v>
      </c>
      <c r="BL184" s="274">
        <v>4344.1509999999998</v>
      </c>
      <c r="BM184" s="274">
        <v>4330.3990000000003</v>
      </c>
      <c r="BN184" s="274">
        <v>4316.4250000000002</v>
      </c>
      <c r="BO184" s="274">
        <v>4302.0730000000003</v>
      </c>
      <c r="BP184" s="274">
        <v>4287.0150000000003</v>
      </c>
      <c r="BQ184" s="274">
        <v>4271.4970000000003</v>
      </c>
      <c r="BR184" s="274">
        <v>4255.8530000000001</v>
      </c>
      <c r="BS184" s="274">
        <v>4240.317</v>
      </c>
    </row>
    <row r="185" spans="1:71" x14ac:dyDescent="0.4">
      <c r="A185" s="270">
        <v>166</v>
      </c>
      <c r="B185" s="271" t="s">
        <v>890</v>
      </c>
      <c r="C185" s="276" t="s">
        <v>938</v>
      </c>
      <c r="D185" s="273"/>
      <c r="E185" s="273">
        <v>292</v>
      </c>
      <c r="F185" s="274">
        <v>20.498000000000001</v>
      </c>
      <c r="G185" s="274">
        <v>20.643999999999998</v>
      </c>
      <c r="H185" s="274">
        <v>20.773</v>
      </c>
      <c r="I185" s="274">
        <v>20.879000000000001</v>
      </c>
      <c r="J185" s="274">
        <v>20.960999999999999</v>
      </c>
      <c r="K185" s="274">
        <v>21.021999999999998</v>
      </c>
      <c r="L185" s="274">
        <v>21.073</v>
      </c>
      <c r="M185" s="274">
        <v>21.126999999999999</v>
      </c>
      <c r="N185" s="274">
        <v>21.207999999999998</v>
      </c>
      <c r="O185" s="274">
        <v>21.335999999999999</v>
      </c>
      <c r="P185" s="274">
        <v>21.529</v>
      </c>
      <c r="Q185" s="274">
        <v>21.797000000000001</v>
      </c>
      <c r="R185" s="274">
        <v>22.132999999999999</v>
      </c>
      <c r="S185" s="274">
        <v>22.51</v>
      </c>
      <c r="T185" s="274">
        <v>22.893999999999998</v>
      </c>
      <c r="U185" s="274">
        <v>23.256</v>
      </c>
      <c r="V185" s="274">
        <v>23.59</v>
      </c>
      <c r="W185" s="274">
        <v>23.901</v>
      </c>
      <c r="X185" s="274">
        <v>24.184999999999999</v>
      </c>
      <c r="Y185" s="274">
        <v>24.437999999999999</v>
      </c>
      <c r="Z185" s="274">
        <v>24.661000000000001</v>
      </c>
      <c r="AA185" s="274">
        <v>24.844000000000001</v>
      </c>
      <c r="AB185" s="274">
        <v>24.991</v>
      </c>
      <c r="AC185" s="274">
        <v>25.120999999999999</v>
      </c>
      <c r="AD185" s="274">
        <v>25.265999999999998</v>
      </c>
      <c r="AE185" s="274">
        <v>25.443000000000001</v>
      </c>
      <c r="AF185" s="274">
        <v>25.666</v>
      </c>
      <c r="AG185" s="274">
        <v>25.922000000000001</v>
      </c>
      <c r="AH185" s="274">
        <v>26.184999999999999</v>
      </c>
      <c r="AI185" s="274">
        <v>26.408999999999999</v>
      </c>
      <c r="AJ185" s="274">
        <v>26.568000000000001</v>
      </c>
      <c r="AK185" s="274">
        <v>26.651</v>
      </c>
      <c r="AL185" s="274">
        <v>26.670999999999999</v>
      </c>
      <c r="AM185" s="274">
        <v>26.65</v>
      </c>
      <c r="AN185" s="274">
        <v>26.620999999999999</v>
      </c>
      <c r="AO185" s="274">
        <v>26.611000000000001</v>
      </c>
      <c r="AP185" s="274">
        <v>26.623000000000001</v>
      </c>
      <c r="AQ185" s="274">
        <v>26.652999999999999</v>
      </c>
      <c r="AR185" s="274">
        <v>26.7</v>
      </c>
      <c r="AS185" s="274">
        <v>26.76</v>
      </c>
      <c r="AT185" s="274">
        <v>26.832999999999998</v>
      </c>
      <c r="AU185" s="274">
        <v>26.923999999999999</v>
      </c>
      <c r="AV185" s="274">
        <v>27.035</v>
      </c>
      <c r="AW185" s="274">
        <v>27.146000000000001</v>
      </c>
      <c r="AX185" s="274">
        <v>27.234999999999999</v>
      </c>
      <c r="AY185" s="274">
        <v>27.285</v>
      </c>
      <c r="AZ185" s="274">
        <v>27.283999999999999</v>
      </c>
      <c r="BA185" s="274">
        <v>27.245999999999999</v>
      </c>
      <c r="BB185" s="274">
        <v>27.210999999999999</v>
      </c>
      <c r="BC185" s="274">
        <v>27.233000000000001</v>
      </c>
      <c r="BD185" s="274">
        <v>27.350999999999999</v>
      </c>
      <c r="BE185" s="274">
        <v>27.58</v>
      </c>
      <c r="BF185" s="274">
        <v>27.902999999999999</v>
      </c>
      <c r="BG185" s="274">
        <v>28.29</v>
      </c>
      <c r="BH185" s="274">
        <v>28.693999999999999</v>
      </c>
      <c r="BI185" s="274">
        <v>29.08</v>
      </c>
      <c r="BJ185" s="274">
        <v>29.437000000000001</v>
      </c>
      <c r="BK185" s="274">
        <v>29.77</v>
      </c>
      <c r="BL185" s="274">
        <v>30.088999999999999</v>
      </c>
      <c r="BM185" s="274">
        <v>30.407</v>
      </c>
      <c r="BN185" s="274">
        <v>30.731999999999999</v>
      </c>
      <c r="BO185" s="274">
        <v>31.067</v>
      </c>
      <c r="BP185" s="274">
        <v>31.402000000000001</v>
      </c>
      <c r="BQ185" s="274">
        <v>31.72</v>
      </c>
      <c r="BR185" s="274">
        <v>31.997</v>
      </c>
      <c r="BS185" s="274">
        <v>32.216999999999999</v>
      </c>
    </row>
    <row r="186" spans="1:71" x14ac:dyDescent="0.4">
      <c r="A186" s="270">
        <v>167</v>
      </c>
      <c r="B186" s="271" t="s">
        <v>890</v>
      </c>
      <c r="C186" s="276" t="s">
        <v>424</v>
      </c>
      <c r="D186" s="273"/>
      <c r="E186" s="273">
        <v>300</v>
      </c>
      <c r="F186" s="274">
        <v>7566.0020000000004</v>
      </c>
      <c r="G186" s="274">
        <v>7635.277</v>
      </c>
      <c r="H186" s="274">
        <v>7706.0219999999999</v>
      </c>
      <c r="I186" s="274">
        <v>7779.4570000000003</v>
      </c>
      <c r="J186" s="274">
        <v>7856.0290000000005</v>
      </c>
      <c r="K186" s="274">
        <v>7935.4089999999997</v>
      </c>
      <c r="L186" s="274">
        <v>8016.4430000000002</v>
      </c>
      <c r="M186" s="274">
        <v>8097.2020000000002</v>
      </c>
      <c r="N186" s="274">
        <v>8175.14</v>
      </c>
      <c r="O186" s="274">
        <v>8247.3590000000004</v>
      </c>
      <c r="P186" s="274">
        <v>8311.3860000000004</v>
      </c>
      <c r="Q186" s="274">
        <v>8366.02</v>
      </c>
      <c r="R186" s="274">
        <v>8412.0589999999993</v>
      </c>
      <c r="S186" s="274">
        <v>8452.6170000000002</v>
      </c>
      <c r="T186" s="274">
        <v>8492.232</v>
      </c>
      <c r="U186" s="274">
        <v>8534.2520000000004</v>
      </c>
      <c r="V186" s="274">
        <v>8580.6</v>
      </c>
      <c r="W186" s="274">
        <v>8630.6720000000005</v>
      </c>
      <c r="X186" s="274">
        <v>8682.3510000000006</v>
      </c>
      <c r="Y186" s="274">
        <v>8732.3080000000009</v>
      </c>
      <c r="Z186" s="274">
        <v>8778.6759999999995</v>
      </c>
      <c r="AA186" s="274">
        <v>8819.2060000000001</v>
      </c>
      <c r="AB186" s="274">
        <v>8856.0969999999998</v>
      </c>
      <c r="AC186" s="274">
        <v>8897.1260000000002</v>
      </c>
      <c r="AD186" s="274">
        <v>8952.8619999999992</v>
      </c>
      <c r="AE186" s="274">
        <v>9030.08</v>
      </c>
      <c r="AF186" s="274">
        <v>9132.5310000000009</v>
      </c>
      <c r="AG186" s="274">
        <v>9255.7489999999998</v>
      </c>
      <c r="AH186" s="274">
        <v>9388.1880000000001</v>
      </c>
      <c r="AI186" s="274">
        <v>9513.5939999999991</v>
      </c>
      <c r="AJ186" s="274">
        <v>9620.2739999999994</v>
      </c>
      <c r="AK186" s="274">
        <v>9704.9470000000001</v>
      </c>
      <c r="AL186" s="274">
        <v>9771.25</v>
      </c>
      <c r="AM186" s="274">
        <v>9822.9989999999998</v>
      </c>
      <c r="AN186" s="274">
        <v>9866.7250000000004</v>
      </c>
      <c r="AO186" s="274">
        <v>9907.8310000000001</v>
      </c>
      <c r="AP186" s="274">
        <v>9945.5759999999991</v>
      </c>
      <c r="AQ186" s="274">
        <v>9979.7549999999992</v>
      </c>
      <c r="AR186" s="274">
        <v>10017.036</v>
      </c>
      <c r="AS186" s="274">
        <v>10065.859</v>
      </c>
      <c r="AT186" s="274">
        <v>10131.736999999999</v>
      </c>
      <c r="AU186" s="274">
        <v>10217.781999999999</v>
      </c>
      <c r="AV186" s="274">
        <v>10321.044</v>
      </c>
      <c r="AW186" s="274">
        <v>10433.351000000001</v>
      </c>
      <c r="AX186" s="274">
        <v>10542.97</v>
      </c>
      <c r="AY186" s="274">
        <v>10641.169</v>
      </c>
      <c r="AZ186" s="274">
        <v>10725.634</v>
      </c>
      <c r="BA186" s="274">
        <v>10798.19</v>
      </c>
      <c r="BB186" s="274">
        <v>10859.311</v>
      </c>
      <c r="BC186" s="274">
        <v>10910.741</v>
      </c>
      <c r="BD186" s="274">
        <v>10954.031999999999</v>
      </c>
      <c r="BE186" s="274">
        <v>10987.715</v>
      </c>
      <c r="BF186" s="274">
        <v>11011.49</v>
      </c>
      <c r="BG186" s="274">
        <v>11029.587</v>
      </c>
      <c r="BH186" s="274">
        <v>11047.739</v>
      </c>
      <c r="BI186" s="274">
        <v>11069.662</v>
      </c>
      <c r="BJ186" s="274">
        <v>11098.212</v>
      </c>
      <c r="BK186" s="274">
        <v>11131.302</v>
      </c>
      <c r="BL186" s="274">
        <v>11161.754999999999</v>
      </c>
      <c r="BM186" s="274">
        <v>11179.424999999999</v>
      </c>
      <c r="BN186" s="274">
        <v>11177.509</v>
      </c>
      <c r="BO186" s="274">
        <v>11153.047</v>
      </c>
      <c r="BP186" s="274">
        <v>11109.662</v>
      </c>
      <c r="BQ186" s="274">
        <v>11055.164000000001</v>
      </c>
      <c r="BR186" s="274">
        <v>11000.777</v>
      </c>
      <c r="BS186" s="274">
        <v>10954.617</v>
      </c>
    </row>
    <row r="187" spans="1:71" x14ac:dyDescent="0.4">
      <c r="A187" s="270">
        <v>168</v>
      </c>
      <c r="B187" s="271" t="s">
        <v>890</v>
      </c>
      <c r="C187" s="276" t="s">
        <v>939</v>
      </c>
      <c r="D187" s="273">
        <v>18</v>
      </c>
      <c r="E187" s="273">
        <v>336</v>
      </c>
      <c r="F187" s="274">
        <v>0.90500000000000003</v>
      </c>
      <c r="G187" s="274">
        <v>0.88700000000000001</v>
      </c>
      <c r="H187" s="274">
        <v>0.88400000000000001</v>
      </c>
      <c r="I187" s="274">
        <v>0.88900000000000001</v>
      </c>
      <c r="J187" s="274">
        <v>0.89700000000000002</v>
      </c>
      <c r="K187" s="274">
        <v>0.90500000000000003</v>
      </c>
      <c r="L187" s="274">
        <v>0.91</v>
      </c>
      <c r="M187" s="274">
        <v>0.91200000000000003</v>
      </c>
      <c r="N187" s="274">
        <v>0.91100000000000003</v>
      </c>
      <c r="O187" s="274">
        <v>0.90800000000000003</v>
      </c>
      <c r="P187" s="274">
        <v>0.90600000000000003</v>
      </c>
      <c r="Q187" s="274">
        <v>0.90400000000000003</v>
      </c>
      <c r="R187" s="274">
        <v>0.90100000000000002</v>
      </c>
      <c r="S187" s="274">
        <v>0.89600000000000002</v>
      </c>
      <c r="T187" s="274">
        <v>0.88100000000000001</v>
      </c>
      <c r="U187" s="274">
        <v>0.85499999999999998</v>
      </c>
      <c r="V187" s="274">
        <v>0.81699999999999995</v>
      </c>
      <c r="W187" s="274">
        <v>0.76700000000000002</v>
      </c>
      <c r="X187" s="274">
        <v>0.71499999999999997</v>
      </c>
      <c r="Y187" s="274">
        <v>0.67200000000000004</v>
      </c>
      <c r="Z187" s="274">
        <v>0.64800000000000002</v>
      </c>
      <c r="AA187" s="274">
        <v>0.64400000000000002</v>
      </c>
      <c r="AB187" s="274">
        <v>0.66</v>
      </c>
      <c r="AC187" s="274">
        <v>0.68500000000000005</v>
      </c>
      <c r="AD187" s="274">
        <v>0.71099999999999997</v>
      </c>
      <c r="AE187" s="274">
        <v>0.72899999999999998</v>
      </c>
      <c r="AF187" s="274">
        <v>0.73699999999999999</v>
      </c>
      <c r="AG187" s="274">
        <v>0.73699999999999999</v>
      </c>
      <c r="AH187" s="274">
        <v>0.73299999999999998</v>
      </c>
      <c r="AI187" s="274">
        <v>0.72799999999999998</v>
      </c>
      <c r="AJ187" s="274">
        <v>0.72599999999999998</v>
      </c>
      <c r="AK187" s="274">
        <v>0.72799999999999998</v>
      </c>
      <c r="AL187" s="274">
        <v>0.73099999999999998</v>
      </c>
      <c r="AM187" s="274">
        <v>0.73599999999999999</v>
      </c>
      <c r="AN187" s="274">
        <v>0.74199999999999999</v>
      </c>
      <c r="AO187" s="274">
        <v>0.747</v>
      </c>
      <c r="AP187" s="274">
        <v>0.752</v>
      </c>
      <c r="AQ187" s="274">
        <v>0.75700000000000001</v>
      </c>
      <c r="AR187" s="274">
        <v>0.76200000000000001</v>
      </c>
      <c r="AS187" s="274">
        <v>0.76600000000000001</v>
      </c>
      <c r="AT187" s="274">
        <v>0.77</v>
      </c>
      <c r="AU187" s="274">
        <v>0.77300000000000002</v>
      </c>
      <c r="AV187" s="274">
        <v>0.77500000000000002</v>
      </c>
      <c r="AW187" s="274">
        <v>0.77800000000000002</v>
      </c>
      <c r="AX187" s="274">
        <v>0.78</v>
      </c>
      <c r="AY187" s="274">
        <v>0.78100000000000003</v>
      </c>
      <c r="AZ187" s="274">
        <v>0.78200000000000003</v>
      </c>
      <c r="BA187" s="274">
        <v>0.78300000000000003</v>
      </c>
      <c r="BB187" s="274">
        <v>0.78500000000000003</v>
      </c>
      <c r="BC187" s="274">
        <v>0.78600000000000003</v>
      </c>
      <c r="BD187" s="274">
        <v>0.78700000000000003</v>
      </c>
      <c r="BE187" s="274">
        <v>0.78900000000000003</v>
      </c>
      <c r="BF187" s="274">
        <v>0.79200000000000004</v>
      </c>
      <c r="BG187" s="274">
        <v>0.79400000000000004</v>
      </c>
      <c r="BH187" s="274">
        <v>0.79600000000000004</v>
      </c>
      <c r="BI187" s="274">
        <v>0.79800000000000004</v>
      </c>
      <c r="BJ187" s="274">
        <v>0.79900000000000004</v>
      </c>
      <c r="BK187" s="274">
        <v>0.79900000000000004</v>
      </c>
      <c r="BL187" s="274">
        <v>0.79900000000000004</v>
      </c>
      <c r="BM187" s="274">
        <v>0.79900000000000004</v>
      </c>
      <c r="BN187" s="274">
        <v>0.79900000000000004</v>
      </c>
      <c r="BO187" s="274">
        <v>0.79900000000000004</v>
      </c>
      <c r="BP187" s="274">
        <v>0.79900000000000004</v>
      </c>
      <c r="BQ187" s="274">
        <v>0.79900000000000004</v>
      </c>
      <c r="BR187" s="274">
        <v>0.79900000000000004</v>
      </c>
      <c r="BS187" s="274">
        <v>0.8</v>
      </c>
    </row>
    <row r="188" spans="1:71" x14ac:dyDescent="0.4">
      <c r="A188" s="270">
        <v>169</v>
      </c>
      <c r="B188" s="271" t="s">
        <v>890</v>
      </c>
      <c r="C188" s="276" t="s">
        <v>480</v>
      </c>
      <c r="D188" s="273"/>
      <c r="E188" s="273">
        <v>380</v>
      </c>
      <c r="F188" s="274">
        <v>46598.601999999999</v>
      </c>
      <c r="G188" s="274">
        <v>47014.137000000002</v>
      </c>
      <c r="H188" s="274">
        <v>47398.599000000002</v>
      </c>
      <c r="I188" s="274">
        <v>47748.688999999998</v>
      </c>
      <c r="J188" s="274">
        <v>48064.766000000003</v>
      </c>
      <c r="K188" s="274">
        <v>48350.847000000002</v>
      </c>
      <c r="L188" s="274">
        <v>48614.864999999998</v>
      </c>
      <c r="M188" s="274">
        <v>48868.411999999997</v>
      </c>
      <c r="N188" s="274">
        <v>49125.959000000003</v>
      </c>
      <c r="O188" s="274">
        <v>49403.557999999997</v>
      </c>
      <c r="P188" s="274">
        <v>49714.962</v>
      </c>
      <c r="Q188" s="274">
        <v>50067.464</v>
      </c>
      <c r="R188" s="274">
        <v>50458.277000000002</v>
      </c>
      <c r="S188" s="274">
        <v>50872.976000000002</v>
      </c>
      <c r="T188" s="274">
        <v>51289.904000000002</v>
      </c>
      <c r="U188" s="274">
        <v>51693.135999999999</v>
      </c>
      <c r="V188" s="274">
        <v>52076.758000000002</v>
      </c>
      <c r="W188" s="274">
        <v>52444.750999999997</v>
      </c>
      <c r="X188" s="274">
        <v>52802.703000000001</v>
      </c>
      <c r="Y188" s="274">
        <v>53160.055999999997</v>
      </c>
      <c r="Z188" s="274">
        <v>53522.67</v>
      </c>
      <c r="AA188" s="274">
        <v>53891.946000000004</v>
      </c>
      <c r="AB188" s="274">
        <v>54262.086000000003</v>
      </c>
      <c r="AC188" s="274">
        <v>54623.207000000002</v>
      </c>
      <c r="AD188" s="274">
        <v>54961.925999999999</v>
      </c>
      <c r="AE188" s="274">
        <v>55268.548999999999</v>
      </c>
      <c r="AF188" s="274">
        <v>55539.118000000002</v>
      </c>
      <c r="AG188" s="274">
        <v>55775.934000000001</v>
      </c>
      <c r="AH188" s="274">
        <v>55983.298000000003</v>
      </c>
      <c r="AI188" s="274">
        <v>56168.375999999997</v>
      </c>
      <c r="AJ188" s="274">
        <v>56336.446000000004</v>
      </c>
      <c r="AK188" s="274">
        <v>56489.623</v>
      </c>
      <c r="AL188" s="274">
        <v>56626.402999999998</v>
      </c>
      <c r="AM188" s="274">
        <v>56744.4</v>
      </c>
      <c r="AN188" s="274">
        <v>56839.858999999997</v>
      </c>
      <c r="AO188" s="274">
        <v>56910.887999999999</v>
      </c>
      <c r="AP188" s="274">
        <v>56956.635000000002</v>
      </c>
      <c r="AQ188" s="274">
        <v>56980.620999999999</v>
      </c>
      <c r="AR188" s="274">
        <v>56990.644999999997</v>
      </c>
      <c r="AS188" s="274">
        <v>56997.093000000001</v>
      </c>
      <c r="AT188" s="274">
        <v>57007.576999999997</v>
      </c>
      <c r="AU188" s="274">
        <v>57029.614000000001</v>
      </c>
      <c r="AV188" s="274">
        <v>57062.76</v>
      </c>
      <c r="AW188" s="274">
        <v>57097.411</v>
      </c>
      <c r="AX188" s="274">
        <v>57119.163</v>
      </c>
      <c r="AY188" s="274">
        <v>57120.135999999999</v>
      </c>
      <c r="AZ188" s="274">
        <v>57091.906000000003</v>
      </c>
      <c r="BA188" s="274">
        <v>57044.614000000001</v>
      </c>
      <c r="BB188" s="274">
        <v>57010.94</v>
      </c>
      <c r="BC188" s="274">
        <v>57035.249000000003</v>
      </c>
      <c r="BD188" s="274">
        <v>57147.080999999998</v>
      </c>
      <c r="BE188" s="274">
        <v>57359.178999999996</v>
      </c>
      <c r="BF188" s="274">
        <v>57655.677000000003</v>
      </c>
      <c r="BG188" s="274">
        <v>58002.002999999997</v>
      </c>
      <c r="BH188" s="274">
        <v>58348.332000000002</v>
      </c>
      <c r="BI188" s="274">
        <v>58657.355000000003</v>
      </c>
      <c r="BJ188" s="274">
        <v>58918.470999999998</v>
      </c>
      <c r="BK188" s="274">
        <v>59138.599000000002</v>
      </c>
      <c r="BL188" s="274">
        <v>59319.233999999997</v>
      </c>
      <c r="BM188" s="274">
        <v>59467.196000000004</v>
      </c>
      <c r="BN188" s="274">
        <v>59588.006999999998</v>
      </c>
      <c r="BO188" s="274">
        <v>59678.993000000002</v>
      </c>
      <c r="BP188" s="274">
        <v>59737.716999999997</v>
      </c>
      <c r="BQ188" s="274">
        <v>59771.093999999997</v>
      </c>
      <c r="BR188" s="274">
        <v>59788.667000000001</v>
      </c>
      <c r="BS188" s="274">
        <v>59797.684999999998</v>
      </c>
    </row>
    <row r="189" spans="1:71" x14ac:dyDescent="0.4">
      <c r="A189" s="270">
        <v>170</v>
      </c>
      <c r="B189" s="271" t="s">
        <v>890</v>
      </c>
      <c r="C189" s="276" t="s">
        <v>564</v>
      </c>
      <c r="D189" s="273"/>
      <c r="E189" s="273">
        <v>470</v>
      </c>
      <c r="F189" s="274">
        <v>311.99700000000001</v>
      </c>
      <c r="G189" s="274">
        <v>312.72500000000002</v>
      </c>
      <c r="H189" s="274">
        <v>313.19200000000001</v>
      </c>
      <c r="I189" s="274">
        <v>313.505</v>
      </c>
      <c r="J189" s="274">
        <v>313.73500000000001</v>
      </c>
      <c r="K189" s="274">
        <v>313.91399999999999</v>
      </c>
      <c r="L189" s="274">
        <v>314.03699999999998</v>
      </c>
      <c r="M189" s="274">
        <v>314.06299999999999</v>
      </c>
      <c r="N189" s="274">
        <v>313.92</v>
      </c>
      <c r="O189" s="274">
        <v>313.52</v>
      </c>
      <c r="P189" s="274">
        <v>312.78800000000001</v>
      </c>
      <c r="Q189" s="274">
        <v>311.702</v>
      </c>
      <c r="R189" s="274">
        <v>310.32499999999999</v>
      </c>
      <c r="S189" s="274">
        <v>308.815</v>
      </c>
      <c r="T189" s="274">
        <v>307.38900000000001</v>
      </c>
      <c r="U189" s="274">
        <v>306.21199999999999</v>
      </c>
      <c r="V189" s="274">
        <v>305.35700000000003</v>
      </c>
      <c r="W189" s="274">
        <v>304.80500000000001</v>
      </c>
      <c r="X189" s="274">
        <v>304.51400000000001</v>
      </c>
      <c r="Y189" s="274">
        <v>304.40100000000001</v>
      </c>
      <c r="Z189" s="274">
        <v>304.41399999999999</v>
      </c>
      <c r="AA189" s="274">
        <v>304.54599999999999</v>
      </c>
      <c r="AB189" s="274">
        <v>304.85000000000002</v>
      </c>
      <c r="AC189" s="274">
        <v>305.39800000000002</v>
      </c>
      <c r="AD189" s="274">
        <v>306.291</v>
      </c>
      <c r="AE189" s="274">
        <v>307.59699999999998</v>
      </c>
      <c r="AF189" s="274">
        <v>309.32799999999997</v>
      </c>
      <c r="AG189" s="274">
        <v>311.45499999999998</v>
      </c>
      <c r="AH189" s="274">
        <v>313.95299999999997</v>
      </c>
      <c r="AI189" s="274">
        <v>316.78100000000001</v>
      </c>
      <c r="AJ189" s="274">
        <v>319.89800000000002</v>
      </c>
      <c r="AK189" s="274">
        <v>323.298</v>
      </c>
      <c r="AL189" s="274">
        <v>326.95299999999997</v>
      </c>
      <c r="AM189" s="274">
        <v>330.76100000000002</v>
      </c>
      <c r="AN189" s="274">
        <v>334.59199999999998</v>
      </c>
      <c r="AO189" s="274">
        <v>338.34800000000001</v>
      </c>
      <c r="AP189" s="274">
        <v>341.97800000000001</v>
      </c>
      <c r="AQ189" s="274">
        <v>345.49</v>
      </c>
      <c r="AR189" s="274">
        <v>348.91199999999998</v>
      </c>
      <c r="AS189" s="274">
        <v>352.30399999999997</v>
      </c>
      <c r="AT189" s="274">
        <v>355.70699999999999</v>
      </c>
      <c r="AU189" s="274">
        <v>359.113</v>
      </c>
      <c r="AV189" s="274">
        <v>362.49200000000002</v>
      </c>
      <c r="AW189" s="274">
        <v>365.83800000000002</v>
      </c>
      <c r="AX189" s="274">
        <v>369.142</v>
      </c>
      <c r="AY189" s="274">
        <v>372.39100000000002</v>
      </c>
      <c r="AZ189" s="274">
        <v>375.61</v>
      </c>
      <c r="BA189" s="274">
        <v>378.78899999999999</v>
      </c>
      <c r="BB189" s="274">
        <v>381.84399999999999</v>
      </c>
      <c r="BC189" s="274">
        <v>384.66300000000001</v>
      </c>
      <c r="BD189" s="274">
        <v>387.18</v>
      </c>
      <c r="BE189" s="274">
        <v>389.32299999999998</v>
      </c>
      <c r="BF189" s="274">
        <v>391.14800000000002</v>
      </c>
      <c r="BG189" s="274">
        <v>392.87</v>
      </c>
      <c r="BH189" s="274">
        <v>394.786</v>
      </c>
      <c r="BI189" s="274">
        <v>397.09399999999999</v>
      </c>
      <c r="BJ189" s="274">
        <v>399.892</v>
      </c>
      <c r="BK189" s="274">
        <v>403.07600000000002</v>
      </c>
      <c r="BL189" s="274">
        <v>406.392</v>
      </c>
      <c r="BM189" s="274">
        <v>409.47500000000002</v>
      </c>
      <c r="BN189" s="274">
        <v>412.06400000000002</v>
      </c>
      <c r="BO189" s="274">
        <v>414.07499999999999</v>
      </c>
      <c r="BP189" s="274">
        <v>415.596</v>
      </c>
      <c r="BQ189" s="274">
        <v>416.74700000000001</v>
      </c>
      <c r="BR189" s="274">
        <v>417.72300000000001</v>
      </c>
      <c r="BS189" s="274">
        <v>418.67</v>
      </c>
    </row>
    <row r="190" spans="1:71" x14ac:dyDescent="0.4">
      <c r="A190" s="270">
        <v>171</v>
      </c>
      <c r="B190" s="271" t="s">
        <v>890</v>
      </c>
      <c r="C190" s="276" t="s">
        <v>590</v>
      </c>
      <c r="D190" s="273"/>
      <c r="E190" s="273">
        <v>499</v>
      </c>
      <c r="F190" s="274">
        <v>394.738</v>
      </c>
      <c r="G190" s="274">
        <v>400.87599999999998</v>
      </c>
      <c r="H190" s="274">
        <v>410.51100000000002</v>
      </c>
      <c r="I190" s="274">
        <v>421.73500000000001</v>
      </c>
      <c r="J190" s="274">
        <v>433.13499999999999</v>
      </c>
      <c r="K190" s="274">
        <v>443.79599999999999</v>
      </c>
      <c r="L190" s="274">
        <v>453.322</v>
      </c>
      <c r="M190" s="274">
        <v>461.81099999999998</v>
      </c>
      <c r="N190" s="274">
        <v>469.786</v>
      </c>
      <c r="O190" s="274">
        <v>478.06900000000002</v>
      </c>
      <c r="P190" s="274">
        <v>487.416</v>
      </c>
      <c r="Q190" s="274">
        <v>498.12799999999999</v>
      </c>
      <c r="R190" s="274">
        <v>509.70800000000003</v>
      </c>
      <c r="S190" s="274">
        <v>520.71400000000006</v>
      </c>
      <c r="T190" s="274">
        <v>529.17600000000004</v>
      </c>
      <c r="U190" s="274">
        <v>533.81500000000005</v>
      </c>
      <c r="V190" s="274">
        <v>533.90899999999999</v>
      </c>
      <c r="W190" s="274">
        <v>530.23400000000004</v>
      </c>
      <c r="X190" s="274">
        <v>524.84400000000005</v>
      </c>
      <c r="Y190" s="274">
        <v>520.64400000000001</v>
      </c>
      <c r="Z190" s="274">
        <v>519.697</v>
      </c>
      <c r="AA190" s="274">
        <v>522.78300000000002</v>
      </c>
      <c r="AB190" s="274">
        <v>529.20899999999995</v>
      </c>
      <c r="AC190" s="274">
        <v>537.76400000000001</v>
      </c>
      <c r="AD190" s="274">
        <v>546.56899999999996</v>
      </c>
      <c r="AE190" s="274">
        <v>554.26199999999994</v>
      </c>
      <c r="AF190" s="274">
        <v>560.42399999999998</v>
      </c>
      <c r="AG190" s="274">
        <v>565.50900000000001</v>
      </c>
      <c r="AH190" s="274">
        <v>570.06200000000001</v>
      </c>
      <c r="AI190" s="274">
        <v>574.95299999999997</v>
      </c>
      <c r="AJ190" s="274">
        <v>580.755</v>
      </c>
      <c r="AK190" s="274">
        <v>587.68899999999996</v>
      </c>
      <c r="AL190" s="274">
        <v>595.35299999999995</v>
      </c>
      <c r="AM190" s="274">
        <v>602.96400000000006</v>
      </c>
      <c r="AN190" s="274">
        <v>609.43299999999999</v>
      </c>
      <c r="AO190" s="274">
        <v>614.01099999999997</v>
      </c>
      <c r="AP190" s="274">
        <v>616.35699999999997</v>
      </c>
      <c r="AQ190" s="274">
        <v>616.79600000000005</v>
      </c>
      <c r="AR190" s="274">
        <v>616.05499999999995</v>
      </c>
      <c r="AS190" s="274">
        <v>615.20100000000002</v>
      </c>
      <c r="AT190" s="274">
        <v>614.99900000000002</v>
      </c>
      <c r="AU190" s="274">
        <v>615.74300000000005</v>
      </c>
      <c r="AV190" s="274">
        <v>617.17399999999998</v>
      </c>
      <c r="AW190" s="274">
        <v>618.851</v>
      </c>
      <c r="AX190" s="274">
        <v>620.08799999999997</v>
      </c>
      <c r="AY190" s="274">
        <v>620.41499999999996</v>
      </c>
      <c r="AZ190" s="274">
        <v>619.69600000000003</v>
      </c>
      <c r="BA190" s="274">
        <v>618.19200000000001</v>
      </c>
      <c r="BB190" s="274">
        <v>616.30799999999999</v>
      </c>
      <c r="BC190" s="274">
        <v>614.62300000000005</v>
      </c>
      <c r="BD190" s="274">
        <v>613.55700000000002</v>
      </c>
      <c r="BE190" s="274">
        <v>613.23900000000003</v>
      </c>
      <c r="BF190" s="274">
        <v>613.54300000000001</v>
      </c>
      <c r="BG190" s="274">
        <v>614.322</v>
      </c>
      <c r="BH190" s="274">
        <v>615.33199999999999</v>
      </c>
      <c r="BI190" s="274">
        <v>616.38900000000001</v>
      </c>
      <c r="BJ190" s="274">
        <v>617.46199999999999</v>
      </c>
      <c r="BK190" s="274">
        <v>618.59199999999998</v>
      </c>
      <c r="BL190" s="274">
        <v>619.74</v>
      </c>
      <c r="BM190" s="274">
        <v>620.87</v>
      </c>
      <c r="BN190" s="274">
        <v>621.952</v>
      </c>
      <c r="BO190" s="274">
        <v>622.95699999999999</v>
      </c>
      <c r="BP190" s="274">
        <v>623.86400000000003</v>
      </c>
      <c r="BQ190" s="274">
        <v>624.64800000000002</v>
      </c>
      <c r="BR190" s="274">
        <v>625.29200000000003</v>
      </c>
      <c r="BS190" s="274">
        <v>625.78099999999995</v>
      </c>
    </row>
    <row r="191" spans="1:71" x14ac:dyDescent="0.4">
      <c r="A191" s="270">
        <v>172</v>
      </c>
      <c r="B191" s="271" t="s">
        <v>890</v>
      </c>
      <c r="C191" s="276" t="s">
        <v>668</v>
      </c>
      <c r="D191" s="273"/>
      <c r="E191" s="273">
        <v>620</v>
      </c>
      <c r="F191" s="274">
        <v>8416.9689999999991</v>
      </c>
      <c r="G191" s="274">
        <v>8431.2070000000003</v>
      </c>
      <c r="H191" s="274">
        <v>8473.6280000000006</v>
      </c>
      <c r="I191" s="274">
        <v>8532.1929999999993</v>
      </c>
      <c r="J191" s="274">
        <v>8597.2250000000004</v>
      </c>
      <c r="K191" s="274">
        <v>8661.4179999999997</v>
      </c>
      <c r="L191" s="274">
        <v>8719.9140000000007</v>
      </c>
      <c r="M191" s="274">
        <v>8770.2209999999995</v>
      </c>
      <c r="N191" s="274">
        <v>8811.9590000000007</v>
      </c>
      <c r="O191" s="274">
        <v>8846.4249999999993</v>
      </c>
      <c r="P191" s="274">
        <v>8875.3109999999997</v>
      </c>
      <c r="Q191" s="274">
        <v>8899.3310000000001</v>
      </c>
      <c r="R191" s="274">
        <v>8917.02</v>
      </c>
      <c r="S191" s="274">
        <v>8924.2209999999995</v>
      </c>
      <c r="T191" s="274">
        <v>8915.5390000000007</v>
      </c>
      <c r="U191" s="274">
        <v>8888.6350000000002</v>
      </c>
      <c r="V191" s="274">
        <v>8839.8310000000001</v>
      </c>
      <c r="W191" s="274">
        <v>8774.3909999999996</v>
      </c>
      <c r="X191" s="274">
        <v>8709.8050000000003</v>
      </c>
      <c r="Y191" s="274">
        <v>8669.6409999999996</v>
      </c>
      <c r="Z191" s="274">
        <v>8670.3520000000008</v>
      </c>
      <c r="AA191" s="274">
        <v>8717.8709999999992</v>
      </c>
      <c r="AB191" s="274">
        <v>8806.0159999999996</v>
      </c>
      <c r="AC191" s="274">
        <v>8923.9279999999999</v>
      </c>
      <c r="AD191" s="274">
        <v>9054.9240000000009</v>
      </c>
      <c r="AE191" s="274">
        <v>9185.8760000000002</v>
      </c>
      <c r="AF191" s="274">
        <v>9314.3009999999995</v>
      </c>
      <c r="AG191" s="274">
        <v>9441.1669999999995</v>
      </c>
      <c r="AH191" s="274">
        <v>9560.7530000000006</v>
      </c>
      <c r="AI191" s="274">
        <v>9667.0210000000006</v>
      </c>
      <c r="AJ191" s="274">
        <v>9755.6350000000002</v>
      </c>
      <c r="AK191" s="274">
        <v>9824.2389999999996</v>
      </c>
      <c r="AL191" s="274">
        <v>9873.1440000000002</v>
      </c>
      <c r="AM191" s="274">
        <v>9904.4439999999995</v>
      </c>
      <c r="AN191" s="274">
        <v>9921.8950000000004</v>
      </c>
      <c r="AO191" s="274">
        <v>9929.0139999999992</v>
      </c>
      <c r="AP191" s="274">
        <v>9925.41</v>
      </c>
      <c r="AQ191" s="274">
        <v>9912.2080000000005</v>
      </c>
      <c r="AR191" s="274">
        <v>9896.4159999999993</v>
      </c>
      <c r="AS191" s="274">
        <v>9886.9969999999994</v>
      </c>
      <c r="AT191" s="274">
        <v>9890.3189999999995</v>
      </c>
      <c r="AU191" s="274">
        <v>9909.5740000000005</v>
      </c>
      <c r="AV191" s="274">
        <v>9943.1970000000001</v>
      </c>
      <c r="AW191" s="274">
        <v>9986.8279999999995</v>
      </c>
      <c r="AX191" s="274">
        <v>10033.6</v>
      </c>
      <c r="AY191" s="274">
        <v>10078.431</v>
      </c>
      <c r="AZ191" s="274">
        <v>10119.985000000001</v>
      </c>
      <c r="BA191" s="274">
        <v>10159.662</v>
      </c>
      <c r="BB191" s="274">
        <v>10198.31</v>
      </c>
      <c r="BC191" s="274">
        <v>10237.593000000001</v>
      </c>
      <c r="BD191" s="274">
        <v>10278.541999999999</v>
      </c>
      <c r="BE191" s="274">
        <v>10320.463</v>
      </c>
      <c r="BF191" s="274">
        <v>10362.028</v>
      </c>
      <c r="BG191" s="274">
        <v>10402.835999999999</v>
      </c>
      <c r="BH191" s="274">
        <v>10442.446</v>
      </c>
      <c r="BI191" s="274">
        <v>10480.084999999999</v>
      </c>
      <c r="BJ191" s="274">
        <v>10516.558999999999</v>
      </c>
      <c r="BK191" s="274">
        <v>10550.695</v>
      </c>
      <c r="BL191" s="274">
        <v>10577.458000000001</v>
      </c>
      <c r="BM191" s="274">
        <v>10590.26</v>
      </c>
      <c r="BN191" s="274">
        <v>10584.837</v>
      </c>
      <c r="BO191" s="274">
        <v>10558.909</v>
      </c>
      <c r="BP191" s="274">
        <v>10515.016</v>
      </c>
      <c r="BQ191" s="274">
        <v>10459.716</v>
      </c>
      <c r="BR191" s="274">
        <v>10402.343000000001</v>
      </c>
      <c r="BS191" s="274">
        <v>10349.803</v>
      </c>
    </row>
    <row r="192" spans="1:71" x14ac:dyDescent="0.4">
      <c r="A192" s="270">
        <v>173</v>
      </c>
      <c r="B192" s="271" t="s">
        <v>890</v>
      </c>
      <c r="C192" s="276" t="s">
        <v>703</v>
      </c>
      <c r="D192" s="273"/>
      <c r="E192" s="273">
        <v>674</v>
      </c>
      <c r="F192" s="274">
        <v>12.781000000000001</v>
      </c>
      <c r="G192" s="274">
        <v>12.917999999999999</v>
      </c>
      <c r="H192" s="274">
        <v>13.087999999999999</v>
      </c>
      <c r="I192" s="274">
        <v>13.288</v>
      </c>
      <c r="J192" s="274">
        <v>13.515000000000001</v>
      </c>
      <c r="K192" s="274">
        <v>13.766999999999999</v>
      </c>
      <c r="L192" s="274">
        <v>14.044</v>
      </c>
      <c r="M192" s="274">
        <v>14.345000000000001</v>
      </c>
      <c r="N192" s="274">
        <v>14.67</v>
      </c>
      <c r="O192" s="274">
        <v>15.02</v>
      </c>
      <c r="P192" s="274">
        <v>15.393000000000001</v>
      </c>
      <c r="Q192" s="274">
        <v>15.787000000000001</v>
      </c>
      <c r="R192" s="274">
        <v>16.196999999999999</v>
      </c>
      <c r="S192" s="274">
        <v>16.616</v>
      </c>
      <c r="T192" s="274">
        <v>17.033000000000001</v>
      </c>
      <c r="U192" s="274">
        <v>17.440000000000001</v>
      </c>
      <c r="V192" s="274">
        <v>17.838999999999999</v>
      </c>
      <c r="W192" s="274">
        <v>18.228000000000002</v>
      </c>
      <c r="X192" s="274">
        <v>18.587</v>
      </c>
      <c r="Y192" s="274">
        <v>18.895</v>
      </c>
      <c r="Z192" s="274">
        <v>19.135999999999999</v>
      </c>
      <c r="AA192" s="274">
        <v>19.298999999999999</v>
      </c>
      <c r="AB192" s="274">
        <v>19.396000000000001</v>
      </c>
      <c r="AC192" s="274">
        <v>19.466999999999999</v>
      </c>
      <c r="AD192" s="274">
        <v>19.565000000000001</v>
      </c>
      <c r="AE192" s="274">
        <v>19.731999999999999</v>
      </c>
      <c r="AF192" s="274">
        <v>19.981000000000002</v>
      </c>
      <c r="AG192" s="274">
        <v>20.300999999999998</v>
      </c>
      <c r="AH192" s="274">
        <v>20.663</v>
      </c>
      <c r="AI192" s="274">
        <v>21.026</v>
      </c>
      <c r="AJ192" s="274">
        <v>21.363</v>
      </c>
      <c r="AK192" s="274">
        <v>21.666</v>
      </c>
      <c r="AL192" s="274">
        <v>21.943999999999999</v>
      </c>
      <c r="AM192" s="274">
        <v>22.202999999999999</v>
      </c>
      <c r="AN192" s="274">
        <v>22.454999999999998</v>
      </c>
      <c r="AO192" s="274">
        <v>22.707999999999998</v>
      </c>
      <c r="AP192" s="274">
        <v>22.959</v>
      </c>
      <c r="AQ192" s="274">
        <v>23.207999999999998</v>
      </c>
      <c r="AR192" s="274">
        <v>23.463000000000001</v>
      </c>
      <c r="AS192" s="274">
        <v>23.74</v>
      </c>
      <c r="AT192" s="274">
        <v>24.045000000000002</v>
      </c>
      <c r="AU192" s="274">
        <v>24.385000000000002</v>
      </c>
      <c r="AV192" s="274">
        <v>24.754999999999999</v>
      </c>
      <c r="AW192" s="274">
        <v>25.140999999999998</v>
      </c>
      <c r="AX192" s="274">
        <v>25.518999999999998</v>
      </c>
      <c r="AY192" s="274">
        <v>25.875</v>
      </c>
      <c r="AZ192" s="274">
        <v>26.201000000000001</v>
      </c>
      <c r="BA192" s="274">
        <v>26.503</v>
      </c>
      <c r="BB192" s="274">
        <v>26.795000000000002</v>
      </c>
      <c r="BC192" s="274">
        <v>27.097000000000001</v>
      </c>
      <c r="BD192" s="274">
        <v>27.42</v>
      </c>
      <c r="BE192" s="274">
        <v>27.771000000000001</v>
      </c>
      <c r="BF192" s="274">
        <v>28.141999999999999</v>
      </c>
      <c r="BG192" s="274">
        <v>28.52</v>
      </c>
      <c r="BH192" s="274">
        <v>28.890999999999998</v>
      </c>
      <c r="BI192" s="274">
        <v>29.242000000000001</v>
      </c>
      <c r="BJ192" s="274">
        <v>29.568000000000001</v>
      </c>
      <c r="BK192" s="274">
        <v>29.873999999999999</v>
      </c>
      <c r="BL192" s="274">
        <v>30.16</v>
      </c>
      <c r="BM192" s="274">
        <v>30.431000000000001</v>
      </c>
      <c r="BN192" s="274">
        <v>30.69</v>
      </c>
      <c r="BO192" s="274">
        <v>30.937999999999999</v>
      </c>
      <c r="BP192" s="274">
        <v>31.172000000000001</v>
      </c>
      <c r="BQ192" s="274">
        <v>31.390999999999998</v>
      </c>
      <c r="BR192" s="274">
        <v>31.594999999999999</v>
      </c>
      <c r="BS192" s="274">
        <v>31.780999999999999</v>
      </c>
    </row>
    <row r="193" spans="1:71" x14ac:dyDescent="0.4">
      <c r="A193" s="270">
        <v>174</v>
      </c>
      <c r="B193" s="271" t="s">
        <v>890</v>
      </c>
      <c r="C193" s="276" t="s">
        <v>715</v>
      </c>
      <c r="D193" s="273">
        <v>19</v>
      </c>
      <c r="E193" s="273">
        <v>688</v>
      </c>
      <c r="F193" s="274">
        <v>6732.2560000000003</v>
      </c>
      <c r="G193" s="274">
        <v>6853.2889999999998</v>
      </c>
      <c r="H193" s="274">
        <v>6963.3959999999997</v>
      </c>
      <c r="I193" s="274">
        <v>7063.1689999999999</v>
      </c>
      <c r="J193" s="274">
        <v>7153.366</v>
      </c>
      <c r="K193" s="274">
        <v>7234.9160000000002</v>
      </c>
      <c r="L193" s="274">
        <v>7308.9309999999996</v>
      </c>
      <c r="M193" s="274">
        <v>7376.692</v>
      </c>
      <c r="N193" s="274">
        <v>7439.6090000000004</v>
      </c>
      <c r="O193" s="274">
        <v>7499.1660000000002</v>
      </c>
      <c r="P193" s="274">
        <v>7556.73</v>
      </c>
      <c r="Q193" s="274">
        <v>7613.3559999999998</v>
      </c>
      <c r="R193" s="274">
        <v>7669.61</v>
      </c>
      <c r="S193" s="274">
        <v>7725.5010000000002</v>
      </c>
      <c r="T193" s="274">
        <v>7780.683</v>
      </c>
      <c r="U193" s="274">
        <v>7835.0839999999998</v>
      </c>
      <c r="V193" s="274">
        <v>7888.8019999999997</v>
      </c>
      <c r="W193" s="274">
        <v>7942.6379999999999</v>
      </c>
      <c r="X193" s="274">
        <v>7998</v>
      </c>
      <c r="Y193" s="274">
        <v>8056.6629999999996</v>
      </c>
      <c r="Z193" s="274">
        <v>8119.8609999999999</v>
      </c>
      <c r="AA193" s="274">
        <v>8187.9939999999997</v>
      </c>
      <c r="AB193" s="274">
        <v>8260.6260000000002</v>
      </c>
      <c r="AC193" s="274">
        <v>8337.0759999999991</v>
      </c>
      <c r="AD193" s="274">
        <v>8416.25</v>
      </c>
      <c r="AE193" s="274">
        <v>8497.1679999999997</v>
      </c>
      <c r="AF193" s="274">
        <v>8579.6309999999994</v>
      </c>
      <c r="AG193" s="274">
        <v>8663.3269999999993</v>
      </c>
      <c r="AH193" s="274">
        <v>8746.982</v>
      </c>
      <c r="AI193" s="274">
        <v>8829.0380000000005</v>
      </c>
      <c r="AJ193" s="274">
        <v>8908.2929999999997</v>
      </c>
      <c r="AK193" s="274">
        <v>8984.5990000000002</v>
      </c>
      <c r="AL193" s="274">
        <v>9057.9740000000002</v>
      </c>
      <c r="AM193" s="274">
        <v>9127.6790000000001</v>
      </c>
      <c r="AN193" s="274">
        <v>9192.9169999999995</v>
      </c>
      <c r="AO193" s="274">
        <v>9253.4009999999998</v>
      </c>
      <c r="AP193" s="274">
        <v>9306.2829999999994</v>
      </c>
      <c r="AQ193" s="274">
        <v>9351.9380000000001</v>
      </c>
      <c r="AR193" s="274">
        <v>9396.9750000000004</v>
      </c>
      <c r="AS193" s="274">
        <v>9450.482</v>
      </c>
      <c r="AT193" s="274">
        <v>9517.67</v>
      </c>
      <c r="AU193" s="274">
        <v>9603.6209999999992</v>
      </c>
      <c r="AV193" s="274">
        <v>9702.9580000000005</v>
      </c>
      <c r="AW193" s="274">
        <v>9797.8379999999997</v>
      </c>
      <c r="AX193" s="274">
        <v>9863.7810000000009</v>
      </c>
      <c r="AY193" s="274">
        <v>9884.1460000000006</v>
      </c>
      <c r="AZ193" s="274">
        <v>9851.9580000000005</v>
      </c>
      <c r="BA193" s="274">
        <v>9775.0079999999998</v>
      </c>
      <c r="BB193" s="274">
        <v>9669.6479999999992</v>
      </c>
      <c r="BC193" s="274">
        <v>9559.8189999999995</v>
      </c>
      <c r="BD193" s="274">
        <v>9463.3060000000005</v>
      </c>
      <c r="BE193" s="274">
        <v>9384.8160000000007</v>
      </c>
      <c r="BF193" s="274">
        <v>9320.35</v>
      </c>
      <c r="BG193" s="274">
        <v>9268.4509999999991</v>
      </c>
      <c r="BH193" s="274">
        <v>9225.0010000000002</v>
      </c>
      <c r="BI193" s="274">
        <v>9186.6849999999995</v>
      </c>
      <c r="BJ193" s="274">
        <v>9154.76</v>
      </c>
      <c r="BK193" s="274">
        <v>9130.3529999999992</v>
      </c>
      <c r="BL193" s="274">
        <v>9109.5349999999999</v>
      </c>
      <c r="BM193" s="274">
        <v>9087.0190000000002</v>
      </c>
      <c r="BN193" s="274">
        <v>9059.0460000000003</v>
      </c>
      <c r="BO193" s="274">
        <v>9023.8809999999994</v>
      </c>
      <c r="BP193" s="274">
        <v>8982.5779999999995</v>
      </c>
      <c r="BQ193" s="274">
        <v>8937.6049999999996</v>
      </c>
      <c r="BR193" s="274">
        <v>8892.8150000000005</v>
      </c>
      <c r="BS193" s="274">
        <v>8850.9750000000004</v>
      </c>
    </row>
    <row r="194" spans="1:71" x14ac:dyDescent="0.4">
      <c r="A194" s="270">
        <v>175</v>
      </c>
      <c r="B194" s="271" t="s">
        <v>890</v>
      </c>
      <c r="C194" s="276" t="s">
        <v>735</v>
      </c>
      <c r="D194" s="273"/>
      <c r="E194" s="273">
        <v>705</v>
      </c>
      <c r="F194" s="274">
        <v>1473.0940000000001</v>
      </c>
      <c r="G194" s="274">
        <v>1481.6369999999999</v>
      </c>
      <c r="H194" s="274">
        <v>1491.673</v>
      </c>
      <c r="I194" s="274">
        <v>1502.837</v>
      </c>
      <c r="J194" s="274">
        <v>1514.789</v>
      </c>
      <c r="K194" s="274">
        <v>1527.2049999999999</v>
      </c>
      <c r="L194" s="274">
        <v>1539.7860000000001</v>
      </c>
      <c r="M194" s="274">
        <v>1552.2550000000001</v>
      </c>
      <c r="N194" s="274">
        <v>1564.356</v>
      </c>
      <c r="O194" s="274">
        <v>1575.8710000000001</v>
      </c>
      <c r="P194" s="274">
        <v>1586.6320000000001</v>
      </c>
      <c r="Q194" s="274">
        <v>1596.5540000000001</v>
      </c>
      <c r="R194" s="274">
        <v>1605.645</v>
      </c>
      <c r="S194" s="274">
        <v>1614.0219999999999</v>
      </c>
      <c r="T194" s="274">
        <v>1621.883</v>
      </c>
      <c r="U194" s="274">
        <v>1629.434</v>
      </c>
      <c r="V194" s="274">
        <v>1636.66</v>
      </c>
      <c r="W194" s="274">
        <v>1643.6969999999999</v>
      </c>
      <c r="X194" s="274">
        <v>1651.0940000000001</v>
      </c>
      <c r="Y194" s="274">
        <v>1659.5530000000001</v>
      </c>
      <c r="Z194" s="274">
        <v>1669.5830000000001</v>
      </c>
      <c r="AA194" s="274">
        <v>1681.4259999999999</v>
      </c>
      <c r="AB194" s="274">
        <v>1694.979</v>
      </c>
      <c r="AC194" s="274">
        <v>1709.9739999999999</v>
      </c>
      <c r="AD194" s="274">
        <v>1725.9670000000001</v>
      </c>
      <c r="AE194" s="274">
        <v>1742.626</v>
      </c>
      <c r="AF194" s="274">
        <v>1759.7249999999999</v>
      </c>
      <c r="AG194" s="274">
        <v>1777.316</v>
      </c>
      <c r="AH194" s="274">
        <v>1795.6489999999999</v>
      </c>
      <c r="AI194" s="274">
        <v>1815.1010000000001</v>
      </c>
      <c r="AJ194" s="274">
        <v>1835.8389999999999</v>
      </c>
      <c r="AK194" s="274">
        <v>1857.854</v>
      </c>
      <c r="AL194" s="274">
        <v>1880.6990000000001</v>
      </c>
      <c r="AM194" s="274">
        <v>1903.548</v>
      </c>
      <c r="AN194" s="274">
        <v>1925.3150000000001</v>
      </c>
      <c r="AO194" s="274">
        <v>1945.136</v>
      </c>
      <c r="AP194" s="274">
        <v>1962.89</v>
      </c>
      <c r="AQ194" s="274">
        <v>1978.5409999999999</v>
      </c>
      <c r="AR194" s="274">
        <v>1991.454</v>
      </c>
      <c r="AS194" s="274">
        <v>2000.91</v>
      </c>
      <c r="AT194" s="274">
        <v>2006.52</v>
      </c>
      <c r="AU194" s="274">
        <v>2007.9179999999999</v>
      </c>
      <c r="AV194" s="274">
        <v>2005.5350000000001</v>
      </c>
      <c r="AW194" s="274">
        <v>2000.7829999999999</v>
      </c>
      <c r="AX194" s="274">
        <v>1995.615</v>
      </c>
      <c r="AY194" s="274">
        <v>1991.4870000000001</v>
      </c>
      <c r="AZ194" s="274">
        <v>1989.0419999999999</v>
      </c>
      <c r="BA194" s="274">
        <v>1988.077</v>
      </c>
      <c r="BB194" s="274">
        <v>1988.1659999999999</v>
      </c>
      <c r="BC194" s="274">
        <v>1988.527</v>
      </c>
      <c r="BD194" s="274">
        <v>1988.652</v>
      </c>
      <c r="BE194" s="274">
        <v>1988.287</v>
      </c>
      <c r="BF194" s="274">
        <v>1987.855</v>
      </c>
      <c r="BG194" s="274">
        <v>1988.3040000000001</v>
      </c>
      <c r="BH194" s="274">
        <v>1990.924</v>
      </c>
      <c r="BI194" s="274">
        <v>1996.5219999999999</v>
      </c>
      <c r="BJ194" s="274">
        <v>2005.566</v>
      </c>
      <c r="BK194" s="274">
        <v>2017.452</v>
      </c>
      <c r="BL194" s="274">
        <v>2030.5989999999999</v>
      </c>
      <c r="BM194" s="274">
        <v>2042.8040000000001</v>
      </c>
      <c r="BN194" s="274">
        <v>2052.48</v>
      </c>
      <c r="BO194" s="274">
        <v>2059.0230000000001</v>
      </c>
      <c r="BP194" s="274">
        <v>2062.8809999999999</v>
      </c>
      <c r="BQ194" s="274">
        <v>2064.819</v>
      </c>
      <c r="BR194" s="274">
        <v>2066.0680000000002</v>
      </c>
      <c r="BS194" s="274">
        <v>2067.5259999999998</v>
      </c>
    </row>
    <row r="195" spans="1:71" x14ac:dyDescent="0.4">
      <c r="A195" s="270">
        <v>176</v>
      </c>
      <c r="B195" s="271" t="s">
        <v>890</v>
      </c>
      <c r="C195" s="276" t="s">
        <v>755</v>
      </c>
      <c r="D195" s="273">
        <v>20</v>
      </c>
      <c r="E195" s="273">
        <v>724</v>
      </c>
      <c r="F195" s="274">
        <v>28069.737000000001</v>
      </c>
      <c r="G195" s="274">
        <v>28237.323</v>
      </c>
      <c r="H195" s="274">
        <v>28430.441999999999</v>
      </c>
      <c r="I195" s="274">
        <v>28641.79</v>
      </c>
      <c r="J195" s="274">
        <v>28866.15</v>
      </c>
      <c r="K195" s="274">
        <v>29100.396000000001</v>
      </c>
      <c r="L195" s="274">
        <v>29343.601999999999</v>
      </c>
      <c r="M195" s="274">
        <v>29596.934000000001</v>
      </c>
      <c r="N195" s="274">
        <v>29863.304</v>
      </c>
      <c r="O195" s="274">
        <v>30146.802</v>
      </c>
      <c r="P195" s="274">
        <v>30450.993999999999</v>
      </c>
      <c r="Q195" s="274">
        <v>30777.097000000002</v>
      </c>
      <c r="R195" s="274">
        <v>31122.39</v>
      </c>
      <c r="S195" s="274">
        <v>31479.528999999999</v>
      </c>
      <c r="T195" s="274">
        <v>31838.485000000001</v>
      </c>
      <c r="U195" s="274">
        <v>32192.223000000002</v>
      </c>
      <c r="V195" s="274">
        <v>32536.636999999999</v>
      </c>
      <c r="W195" s="274">
        <v>32873.962</v>
      </c>
      <c r="X195" s="274">
        <v>33211.167999999998</v>
      </c>
      <c r="Y195" s="274">
        <v>33558.627</v>
      </c>
      <c r="Z195" s="274">
        <v>33923.24</v>
      </c>
      <c r="AA195" s="274">
        <v>34305.591</v>
      </c>
      <c r="AB195" s="274">
        <v>34701.025000000001</v>
      </c>
      <c r="AC195" s="274">
        <v>35104.633000000002</v>
      </c>
      <c r="AD195" s="274">
        <v>35509.391000000003</v>
      </c>
      <c r="AE195" s="274">
        <v>35909.042000000001</v>
      </c>
      <c r="AF195" s="274">
        <v>36302.392</v>
      </c>
      <c r="AG195" s="274">
        <v>36687.351999999999</v>
      </c>
      <c r="AH195" s="274">
        <v>37055.64</v>
      </c>
      <c r="AI195" s="274">
        <v>37397.232000000004</v>
      </c>
      <c r="AJ195" s="274">
        <v>37704.866999999998</v>
      </c>
      <c r="AK195" s="274">
        <v>37976.188999999998</v>
      </c>
      <c r="AL195" s="274">
        <v>38212.555999999997</v>
      </c>
      <c r="AM195" s="274">
        <v>38415.495000000003</v>
      </c>
      <c r="AN195" s="274">
        <v>38588.237999999998</v>
      </c>
      <c r="AO195" s="274">
        <v>38734.33</v>
      </c>
      <c r="AP195" s="274">
        <v>38854.36</v>
      </c>
      <c r="AQ195" s="274">
        <v>38950.964999999997</v>
      </c>
      <c r="AR195" s="274">
        <v>39032.625</v>
      </c>
      <c r="AS195" s="274">
        <v>39110.106</v>
      </c>
      <c r="AT195" s="274">
        <v>39192.055</v>
      </c>
      <c r="AU195" s="274">
        <v>39287.042999999998</v>
      </c>
      <c r="AV195" s="274">
        <v>39397.402999999998</v>
      </c>
      <c r="AW195" s="274">
        <v>39518.427000000003</v>
      </c>
      <c r="AX195" s="274">
        <v>39641.74</v>
      </c>
      <c r="AY195" s="274">
        <v>39764.267</v>
      </c>
      <c r="AZ195" s="274">
        <v>39878.881000000001</v>
      </c>
      <c r="BA195" s="274">
        <v>39996.220999999998</v>
      </c>
      <c r="BB195" s="274">
        <v>40151.722999999998</v>
      </c>
      <c r="BC195" s="274">
        <v>40392.584999999999</v>
      </c>
      <c r="BD195" s="274">
        <v>40749.800000000003</v>
      </c>
      <c r="BE195" s="274">
        <v>41230.517999999996</v>
      </c>
      <c r="BF195" s="274">
        <v>41815.485999999997</v>
      </c>
      <c r="BG195" s="274">
        <v>42475.264999999999</v>
      </c>
      <c r="BH195" s="274">
        <v>43167.275999999998</v>
      </c>
      <c r="BI195" s="274">
        <v>43854.760999999999</v>
      </c>
      <c r="BJ195" s="274">
        <v>44537.925999999999</v>
      </c>
      <c r="BK195" s="274">
        <v>45209.538</v>
      </c>
      <c r="BL195" s="274">
        <v>45817.016000000003</v>
      </c>
      <c r="BM195" s="274">
        <v>46295.190999999999</v>
      </c>
      <c r="BN195" s="274">
        <v>46601.491999999998</v>
      </c>
      <c r="BO195" s="274">
        <v>46708.366000000002</v>
      </c>
      <c r="BP195" s="274">
        <v>46637.082000000002</v>
      </c>
      <c r="BQ195" s="274">
        <v>46455.163</v>
      </c>
      <c r="BR195" s="274">
        <v>46259.716</v>
      </c>
      <c r="BS195" s="274">
        <v>46121.699000000001</v>
      </c>
    </row>
    <row r="196" spans="1:71" x14ac:dyDescent="0.4">
      <c r="A196" s="270">
        <v>177</v>
      </c>
      <c r="B196" s="271" t="s">
        <v>890</v>
      </c>
      <c r="C196" s="276" t="s">
        <v>940</v>
      </c>
      <c r="D196" s="273">
        <v>21</v>
      </c>
      <c r="E196" s="273">
        <v>807</v>
      </c>
      <c r="F196" s="274">
        <v>1254.444</v>
      </c>
      <c r="G196" s="274">
        <v>1290.413</v>
      </c>
      <c r="H196" s="274">
        <v>1320.9839999999999</v>
      </c>
      <c r="I196" s="274">
        <v>1347.4649999999999</v>
      </c>
      <c r="J196" s="274">
        <v>1370.9780000000001</v>
      </c>
      <c r="K196" s="274">
        <v>1392.45</v>
      </c>
      <c r="L196" s="274">
        <v>1412.614</v>
      </c>
      <c r="M196" s="274">
        <v>1432.0139999999999</v>
      </c>
      <c r="N196" s="274">
        <v>1451.0170000000001</v>
      </c>
      <c r="O196" s="274">
        <v>1469.848</v>
      </c>
      <c r="P196" s="274">
        <v>1488.664</v>
      </c>
      <c r="Q196" s="274">
        <v>1507.653</v>
      </c>
      <c r="R196" s="274">
        <v>1527.105</v>
      </c>
      <c r="S196" s="274">
        <v>1547.4449999999999</v>
      </c>
      <c r="T196" s="274">
        <v>1569.143</v>
      </c>
      <c r="U196" s="274">
        <v>1592.434</v>
      </c>
      <c r="V196" s="274">
        <v>1617.797</v>
      </c>
      <c r="W196" s="274">
        <v>1644.944</v>
      </c>
      <c r="X196" s="274">
        <v>1672.4010000000001</v>
      </c>
      <c r="Y196" s="274">
        <v>1698.14</v>
      </c>
      <c r="Z196" s="274">
        <v>1720.798</v>
      </c>
      <c r="AA196" s="274">
        <v>1739.5250000000001</v>
      </c>
      <c r="AB196" s="274">
        <v>1754.954</v>
      </c>
      <c r="AC196" s="274">
        <v>1768.9960000000001</v>
      </c>
      <c r="AD196" s="274">
        <v>1784.395</v>
      </c>
      <c r="AE196" s="274">
        <v>1803.009</v>
      </c>
      <c r="AF196" s="274">
        <v>1825.5540000000001</v>
      </c>
      <c r="AG196" s="274">
        <v>1851.068</v>
      </c>
      <c r="AH196" s="274">
        <v>1877.6869999999999</v>
      </c>
      <c r="AI196" s="274">
        <v>1902.7180000000001</v>
      </c>
      <c r="AJ196" s="274">
        <v>1924.194</v>
      </c>
      <c r="AK196" s="274">
        <v>1941.4449999999999</v>
      </c>
      <c r="AL196" s="274">
        <v>1954.99</v>
      </c>
      <c r="AM196" s="274">
        <v>1965.4880000000001</v>
      </c>
      <c r="AN196" s="274">
        <v>1974.069</v>
      </c>
      <c r="AO196" s="274">
        <v>1981.5319999999999</v>
      </c>
      <c r="AP196" s="274">
        <v>1988.4010000000001</v>
      </c>
      <c r="AQ196" s="274">
        <v>1994.3679999999999</v>
      </c>
      <c r="AR196" s="274">
        <v>1998.471</v>
      </c>
      <c r="AS196" s="274">
        <v>1999.338</v>
      </c>
      <c r="AT196" s="274">
        <v>1996.2270000000001</v>
      </c>
      <c r="AU196" s="274">
        <v>1988.4580000000001</v>
      </c>
      <c r="AV196" s="274">
        <v>1977.0329999999999</v>
      </c>
      <c r="AW196" s="274">
        <v>1964.924</v>
      </c>
      <c r="AX196" s="274">
        <v>1956.165</v>
      </c>
      <c r="AY196" s="274">
        <v>1953.5440000000001</v>
      </c>
      <c r="AZ196" s="274">
        <v>1958.3030000000001</v>
      </c>
      <c r="BA196" s="274">
        <v>1969.345</v>
      </c>
      <c r="BB196" s="274">
        <v>1984.242</v>
      </c>
      <c r="BC196" s="274">
        <v>1999.3620000000001</v>
      </c>
      <c r="BD196" s="274">
        <v>2012.0509999999999</v>
      </c>
      <c r="BE196" s="274">
        <v>2021.585</v>
      </c>
      <c r="BF196" s="274">
        <v>2028.7059999999999</v>
      </c>
      <c r="BG196" s="274">
        <v>2033.9739999999999</v>
      </c>
      <c r="BH196" s="274">
        <v>2038.444</v>
      </c>
      <c r="BI196" s="274">
        <v>2042.894</v>
      </c>
      <c r="BJ196" s="274">
        <v>2047.33</v>
      </c>
      <c r="BK196" s="274">
        <v>2051.4270000000001</v>
      </c>
      <c r="BL196" s="274">
        <v>2055.2660000000001</v>
      </c>
      <c r="BM196" s="274">
        <v>2058.92</v>
      </c>
      <c r="BN196" s="274">
        <v>2062.4430000000002</v>
      </c>
      <c r="BO196" s="274">
        <v>2065.8879999999999</v>
      </c>
      <c r="BP196" s="274">
        <v>2069.27</v>
      </c>
      <c r="BQ196" s="274">
        <v>2072.5430000000001</v>
      </c>
      <c r="BR196" s="274">
        <v>2075.625</v>
      </c>
      <c r="BS196" s="274">
        <v>2078.453</v>
      </c>
    </row>
    <row r="197" spans="1:71" x14ac:dyDescent="0.4">
      <c r="A197" s="270">
        <v>178</v>
      </c>
      <c r="B197" s="271" t="s">
        <v>890</v>
      </c>
      <c r="C197" s="277" t="s">
        <v>941</v>
      </c>
      <c r="D197" s="273"/>
      <c r="E197" s="273">
        <v>926</v>
      </c>
      <c r="F197" s="274">
        <v>142255.67999999999</v>
      </c>
      <c r="G197" s="274">
        <v>142992.64199999999</v>
      </c>
      <c r="H197" s="274">
        <v>143835.06899999999</v>
      </c>
      <c r="I197" s="274">
        <v>144741.79</v>
      </c>
      <c r="J197" s="274">
        <v>145685.606</v>
      </c>
      <c r="K197" s="274">
        <v>146653.27299999999</v>
      </c>
      <c r="L197" s="274">
        <v>147646.394</v>
      </c>
      <c r="M197" s="274">
        <v>148680.53099999999</v>
      </c>
      <c r="N197" s="274">
        <v>149782.57699999999</v>
      </c>
      <c r="O197" s="274">
        <v>150986.421</v>
      </c>
      <c r="P197" s="274">
        <v>152319.76800000001</v>
      </c>
      <c r="Q197" s="274">
        <v>153790.20300000001</v>
      </c>
      <c r="R197" s="274">
        <v>155372.91399999999</v>
      </c>
      <c r="S197" s="274">
        <v>157005.473</v>
      </c>
      <c r="T197" s="274">
        <v>158602.67199999999</v>
      </c>
      <c r="U197" s="274">
        <v>160100.26699999999</v>
      </c>
      <c r="V197" s="274">
        <v>161472.807</v>
      </c>
      <c r="W197" s="274">
        <v>162727.18599999999</v>
      </c>
      <c r="X197" s="274">
        <v>163871.226</v>
      </c>
      <c r="Y197" s="274">
        <v>164925.223</v>
      </c>
      <c r="Z197" s="274">
        <v>165903.16099999999</v>
      </c>
      <c r="AA197" s="274">
        <v>166808.62700000001</v>
      </c>
      <c r="AB197" s="274">
        <v>167631.18900000001</v>
      </c>
      <c r="AC197" s="274">
        <v>168356.204</v>
      </c>
      <c r="AD197" s="274">
        <v>168964.08799999999</v>
      </c>
      <c r="AE197" s="274">
        <v>169445.06</v>
      </c>
      <c r="AF197" s="274">
        <v>169799.14199999999</v>
      </c>
      <c r="AG197" s="274">
        <v>170044.67300000001</v>
      </c>
      <c r="AH197" s="274">
        <v>170213.96900000001</v>
      </c>
      <c r="AI197" s="274">
        <v>170350.084</v>
      </c>
      <c r="AJ197" s="274">
        <v>170489.31299999999</v>
      </c>
      <c r="AK197" s="274">
        <v>170642.46799999999</v>
      </c>
      <c r="AL197" s="274">
        <v>170818.08300000001</v>
      </c>
      <c r="AM197" s="274">
        <v>171047.03</v>
      </c>
      <c r="AN197" s="274">
        <v>171364.13699999999</v>
      </c>
      <c r="AO197" s="274">
        <v>171794.19500000001</v>
      </c>
      <c r="AP197" s="274">
        <v>172342.557</v>
      </c>
      <c r="AQ197" s="274">
        <v>173003.77900000001</v>
      </c>
      <c r="AR197" s="274">
        <v>173775.516</v>
      </c>
      <c r="AS197" s="274">
        <v>174650.43799999999</v>
      </c>
      <c r="AT197" s="274">
        <v>175615.37700000001</v>
      </c>
      <c r="AU197" s="274">
        <v>176680.894</v>
      </c>
      <c r="AV197" s="274">
        <v>177828.231</v>
      </c>
      <c r="AW197" s="274">
        <v>178978.872</v>
      </c>
      <c r="AX197" s="274">
        <v>180029.79199999999</v>
      </c>
      <c r="AY197" s="274">
        <v>180909.22399999999</v>
      </c>
      <c r="AZ197" s="274">
        <v>181582.198</v>
      </c>
      <c r="BA197" s="274">
        <v>182072.91899999999</v>
      </c>
      <c r="BB197" s="274">
        <v>182442.51800000001</v>
      </c>
      <c r="BC197" s="274">
        <v>182783.40900000001</v>
      </c>
      <c r="BD197" s="274">
        <v>183163.43900000001</v>
      </c>
      <c r="BE197" s="274">
        <v>183603.095</v>
      </c>
      <c r="BF197" s="274">
        <v>184083.75599999999</v>
      </c>
      <c r="BG197" s="274">
        <v>184587.86600000001</v>
      </c>
      <c r="BH197" s="274">
        <v>185084.14199999999</v>
      </c>
      <c r="BI197" s="274">
        <v>185551.55600000001</v>
      </c>
      <c r="BJ197" s="274">
        <v>185983.79199999999</v>
      </c>
      <c r="BK197" s="274">
        <v>186395.182</v>
      </c>
      <c r="BL197" s="274">
        <v>186808.99</v>
      </c>
      <c r="BM197" s="274">
        <v>187257.43700000001</v>
      </c>
      <c r="BN197" s="274">
        <v>187761.522</v>
      </c>
      <c r="BO197" s="274">
        <v>188331.18700000001</v>
      </c>
      <c r="BP197" s="274">
        <v>188953.36799999999</v>
      </c>
      <c r="BQ197" s="274">
        <v>189597.80300000001</v>
      </c>
      <c r="BR197" s="274">
        <v>190221.63399999999</v>
      </c>
      <c r="BS197" s="274">
        <v>190793.63200000001</v>
      </c>
    </row>
    <row r="198" spans="1:71" x14ac:dyDescent="0.4">
      <c r="A198" s="270">
        <v>179</v>
      </c>
      <c r="B198" s="271" t="s">
        <v>890</v>
      </c>
      <c r="C198" s="276" t="s">
        <v>219</v>
      </c>
      <c r="D198" s="273"/>
      <c r="E198" s="273">
        <v>40</v>
      </c>
      <c r="F198" s="274">
        <v>6936.4449999999997</v>
      </c>
      <c r="G198" s="274">
        <v>6930.348</v>
      </c>
      <c r="H198" s="274">
        <v>6929.2889999999998</v>
      </c>
      <c r="I198" s="274">
        <v>6932.4269999999997</v>
      </c>
      <c r="J198" s="274">
        <v>6939.23</v>
      </c>
      <c r="K198" s="274">
        <v>6949.482</v>
      </c>
      <c r="L198" s="274">
        <v>6963.2979999999998</v>
      </c>
      <c r="M198" s="274">
        <v>6981.1049999999996</v>
      </c>
      <c r="N198" s="274">
        <v>7003.5749999999998</v>
      </c>
      <c r="O198" s="274">
        <v>7031.5129999999999</v>
      </c>
      <c r="P198" s="274">
        <v>7065.5249999999996</v>
      </c>
      <c r="Q198" s="274">
        <v>7105.6540000000005</v>
      </c>
      <c r="R198" s="274">
        <v>7151.0770000000002</v>
      </c>
      <c r="S198" s="274">
        <v>7199.9620000000004</v>
      </c>
      <c r="T198" s="274">
        <v>7249.8549999999996</v>
      </c>
      <c r="U198" s="274">
        <v>7298.7939999999999</v>
      </c>
      <c r="V198" s="274">
        <v>7345.8649999999998</v>
      </c>
      <c r="W198" s="274">
        <v>7390.8530000000001</v>
      </c>
      <c r="X198" s="274">
        <v>7433.3280000000004</v>
      </c>
      <c r="Y198" s="274">
        <v>7473.058</v>
      </c>
      <c r="Z198" s="274">
        <v>7509.7460000000001</v>
      </c>
      <c r="AA198" s="274">
        <v>7543.451</v>
      </c>
      <c r="AB198" s="274">
        <v>7573.66</v>
      </c>
      <c r="AC198" s="274">
        <v>7598.9250000000002</v>
      </c>
      <c r="AD198" s="274">
        <v>7617.4319999999998</v>
      </c>
      <c r="AE198" s="274">
        <v>7628.1379999999999</v>
      </c>
      <c r="AF198" s="274">
        <v>7630.5360000000001</v>
      </c>
      <c r="AG198" s="274">
        <v>7625.7240000000002</v>
      </c>
      <c r="AH198" s="274">
        <v>7616.3090000000002</v>
      </c>
      <c r="AI198" s="274">
        <v>7605.8879999999999</v>
      </c>
      <c r="AJ198" s="274">
        <v>7597.2690000000002</v>
      </c>
      <c r="AK198" s="274">
        <v>7591.6180000000004</v>
      </c>
      <c r="AL198" s="274">
        <v>7588.9570000000003</v>
      </c>
      <c r="AM198" s="274">
        <v>7589.5730000000003</v>
      </c>
      <c r="AN198" s="274">
        <v>7593.3969999999999</v>
      </c>
      <c r="AO198" s="274">
        <v>7600.5140000000001</v>
      </c>
      <c r="AP198" s="274">
        <v>7610.4350000000004</v>
      </c>
      <c r="AQ198" s="274">
        <v>7623.7</v>
      </c>
      <c r="AR198" s="274">
        <v>7642.4790000000003</v>
      </c>
      <c r="AS198" s="274">
        <v>7669.6009999999997</v>
      </c>
      <c r="AT198" s="274">
        <v>7706.5709999999999</v>
      </c>
      <c r="AU198" s="274">
        <v>7755.143</v>
      </c>
      <c r="AV198" s="274">
        <v>7813.393</v>
      </c>
      <c r="AW198" s="274">
        <v>7874.6750000000002</v>
      </c>
      <c r="AX198" s="274">
        <v>7929.9110000000001</v>
      </c>
      <c r="AY198" s="274">
        <v>7972.8329999999996</v>
      </c>
      <c r="AZ198" s="274">
        <v>8000.4530000000004</v>
      </c>
      <c r="BA198" s="274">
        <v>8015.2560000000003</v>
      </c>
      <c r="BB198" s="274">
        <v>8023.1660000000002</v>
      </c>
      <c r="BC198" s="274">
        <v>8032.9530000000004</v>
      </c>
      <c r="BD198" s="274">
        <v>8050.884</v>
      </c>
      <c r="BE198" s="274">
        <v>8078.8770000000004</v>
      </c>
      <c r="BF198" s="274">
        <v>8114.6980000000003</v>
      </c>
      <c r="BG198" s="274">
        <v>8155.4660000000003</v>
      </c>
      <c r="BH198" s="274">
        <v>8196.6239999999998</v>
      </c>
      <c r="BI198" s="274">
        <v>8234.8580000000002</v>
      </c>
      <c r="BJ198" s="274">
        <v>8269.3719999999994</v>
      </c>
      <c r="BK198" s="274">
        <v>8301.2900000000009</v>
      </c>
      <c r="BL198" s="274">
        <v>8331.4650000000001</v>
      </c>
      <c r="BM198" s="274">
        <v>8361.3619999999992</v>
      </c>
      <c r="BN198" s="274">
        <v>8391.9860000000008</v>
      </c>
      <c r="BO198" s="274">
        <v>8423.5589999999993</v>
      </c>
      <c r="BP198" s="274">
        <v>8455.4770000000008</v>
      </c>
      <c r="BQ198" s="274">
        <v>8486.9619999999995</v>
      </c>
      <c r="BR198" s="274">
        <v>8516.9159999999993</v>
      </c>
      <c r="BS198" s="274">
        <v>8544.5859999999993</v>
      </c>
    </row>
    <row r="199" spans="1:71" x14ac:dyDescent="0.4">
      <c r="A199" s="270">
        <v>180</v>
      </c>
      <c r="B199" s="271" t="s">
        <v>890</v>
      </c>
      <c r="C199" s="276" t="s">
        <v>245</v>
      </c>
      <c r="D199" s="273"/>
      <c r="E199" s="273">
        <v>56</v>
      </c>
      <c r="F199" s="274">
        <v>8628.4889999999996</v>
      </c>
      <c r="G199" s="274">
        <v>8673.6910000000007</v>
      </c>
      <c r="H199" s="274">
        <v>8721.1919999999991</v>
      </c>
      <c r="I199" s="274">
        <v>8770.1959999999999</v>
      </c>
      <c r="J199" s="274">
        <v>8820.1610000000001</v>
      </c>
      <c r="K199" s="274">
        <v>8870.7919999999995</v>
      </c>
      <c r="L199" s="274">
        <v>8922.0689999999995</v>
      </c>
      <c r="M199" s="274">
        <v>8974.2209999999995</v>
      </c>
      <c r="N199" s="274">
        <v>9027.6790000000001</v>
      </c>
      <c r="O199" s="274">
        <v>9082.991</v>
      </c>
      <c r="P199" s="274">
        <v>9140.5630000000001</v>
      </c>
      <c r="Q199" s="274">
        <v>9200.393</v>
      </c>
      <c r="R199" s="274">
        <v>9261.8279999999995</v>
      </c>
      <c r="S199" s="274">
        <v>9323.4670000000006</v>
      </c>
      <c r="T199" s="274">
        <v>9383.4429999999993</v>
      </c>
      <c r="U199" s="274">
        <v>9440.2790000000005</v>
      </c>
      <c r="V199" s="274">
        <v>9493.6560000000009</v>
      </c>
      <c r="W199" s="274">
        <v>9543.5329999999994</v>
      </c>
      <c r="X199" s="274">
        <v>9589.107</v>
      </c>
      <c r="Y199" s="274">
        <v>9629.5280000000002</v>
      </c>
      <c r="Z199" s="274">
        <v>9664.32</v>
      </c>
      <c r="AA199" s="274">
        <v>9692.9</v>
      </c>
      <c r="AB199" s="274">
        <v>9715.6730000000007</v>
      </c>
      <c r="AC199" s="274">
        <v>9734.4120000000003</v>
      </c>
      <c r="AD199" s="274">
        <v>9751.5920000000006</v>
      </c>
      <c r="AE199" s="274">
        <v>9769.0059999999994</v>
      </c>
      <c r="AF199" s="274">
        <v>9787.5759999999991</v>
      </c>
      <c r="AG199" s="274">
        <v>9806.8850000000002</v>
      </c>
      <c r="AH199" s="274">
        <v>9825.7790000000005</v>
      </c>
      <c r="AI199" s="274">
        <v>9842.4529999999995</v>
      </c>
      <c r="AJ199" s="274">
        <v>9855.7469999999994</v>
      </c>
      <c r="AK199" s="274">
        <v>9865.5120000000006</v>
      </c>
      <c r="AL199" s="274">
        <v>9872.7090000000007</v>
      </c>
      <c r="AM199" s="274">
        <v>9878.6360000000004</v>
      </c>
      <c r="AN199" s="274">
        <v>9885.0879999999997</v>
      </c>
      <c r="AO199" s="274">
        <v>9893.4989999999998</v>
      </c>
      <c r="AP199" s="274">
        <v>9903.8950000000004</v>
      </c>
      <c r="AQ199" s="274">
        <v>9916.2610000000004</v>
      </c>
      <c r="AR199" s="274">
        <v>9931.8729999999996</v>
      </c>
      <c r="AS199" s="274">
        <v>9952.2530000000006</v>
      </c>
      <c r="AT199" s="274">
        <v>9978.241</v>
      </c>
      <c r="AU199" s="274">
        <v>10011.217000000001</v>
      </c>
      <c r="AV199" s="274">
        <v>10050.405000000001</v>
      </c>
      <c r="AW199" s="274">
        <v>10091.888999999999</v>
      </c>
      <c r="AX199" s="274">
        <v>10130.251</v>
      </c>
      <c r="AY199" s="274">
        <v>10161.914000000001</v>
      </c>
      <c r="AZ199" s="274">
        <v>10185.076999999999</v>
      </c>
      <c r="BA199" s="274">
        <v>10201.758</v>
      </c>
      <c r="BB199" s="274">
        <v>10216.867</v>
      </c>
      <c r="BC199" s="274">
        <v>10237.402</v>
      </c>
      <c r="BD199" s="274">
        <v>10268.379999999999</v>
      </c>
      <c r="BE199" s="274">
        <v>10311.331</v>
      </c>
      <c r="BF199" s="274">
        <v>10364.612999999999</v>
      </c>
      <c r="BG199" s="274">
        <v>10426.169</v>
      </c>
      <c r="BH199" s="274">
        <v>10492.643</v>
      </c>
      <c r="BI199" s="274">
        <v>10561.436</v>
      </c>
      <c r="BJ199" s="274">
        <v>10632.031999999999</v>
      </c>
      <c r="BK199" s="274">
        <v>10704.83</v>
      </c>
      <c r="BL199" s="274">
        <v>10779.155000000001</v>
      </c>
      <c r="BM199" s="274">
        <v>10854.388000000001</v>
      </c>
      <c r="BN199" s="274">
        <v>10929.977999999999</v>
      </c>
      <c r="BO199" s="274">
        <v>11005.174999999999</v>
      </c>
      <c r="BP199" s="274">
        <v>11079.521000000001</v>
      </c>
      <c r="BQ199" s="274">
        <v>11153.121999999999</v>
      </c>
      <c r="BR199" s="274">
        <v>11226.322</v>
      </c>
      <c r="BS199" s="274">
        <v>11299.191999999999</v>
      </c>
    </row>
    <row r="200" spans="1:71" x14ac:dyDescent="0.4">
      <c r="A200" s="270">
        <v>181</v>
      </c>
      <c r="B200" s="271" t="s">
        <v>890</v>
      </c>
      <c r="C200" s="276" t="s">
        <v>406</v>
      </c>
      <c r="D200" s="273"/>
      <c r="E200" s="273">
        <v>250</v>
      </c>
      <c r="F200" s="274">
        <v>41879.607000000004</v>
      </c>
      <c r="G200" s="274">
        <v>42071.027000000002</v>
      </c>
      <c r="H200" s="274">
        <v>42365.756000000001</v>
      </c>
      <c r="I200" s="274">
        <v>42724.451999999997</v>
      </c>
      <c r="J200" s="274">
        <v>43118.11</v>
      </c>
      <c r="K200" s="274">
        <v>43528.065000000002</v>
      </c>
      <c r="L200" s="274">
        <v>43946.534</v>
      </c>
      <c r="M200" s="274">
        <v>44376.072999999997</v>
      </c>
      <c r="N200" s="274">
        <v>44827.95</v>
      </c>
      <c r="O200" s="274">
        <v>45319.442000000003</v>
      </c>
      <c r="P200" s="274">
        <v>45865.699000000001</v>
      </c>
      <c r="Q200" s="274">
        <v>46471.082999999999</v>
      </c>
      <c r="R200" s="274">
        <v>47121.574999999997</v>
      </c>
      <c r="S200" s="274">
        <v>47781.535000000003</v>
      </c>
      <c r="T200" s="274">
        <v>48402.9</v>
      </c>
      <c r="U200" s="274">
        <v>48952.283000000003</v>
      </c>
      <c r="V200" s="274">
        <v>49411.341999999997</v>
      </c>
      <c r="W200" s="274">
        <v>49791.771000000001</v>
      </c>
      <c r="X200" s="274">
        <v>50126.894999999997</v>
      </c>
      <c r="Y200" s="274">
        <v>50466.182999999997</v>
      </c>
      <c r="Z200" s="274">
        <v>50843.83</v>
      </c>
      <c r="AA200" s="274">
        <v>51273.974999999999</v>
      </c>
      <c r="AB200" s="274">
        <v>51741.044000000002</v>
      </c>
      <c r="AC200" s="274">
        <v>52214.014000000003</v>
      </c>
      <c r="AD200" s="274">
        <v>52647.616000000002</v>
      </c>
      <c r="AE200" s="274">
        <v>53010.726999999999</v>
      </c>
      <c r="AF200" s="274">
        <v>53293.03</v>
      </c>
      <c r="AG200" s="274">
        <v>53509.578000000001</v>
      </c>
      <c r="AH200" s="274">
        <v>53685.485999999997</v>
      </c>
      <c r="AI200" s="274">
        <v>53857.61</v>
      </c>
      <c r="AJ200" s="274">
        <v>54053.224000000002</v>
      </c>
      <c r="AK200" s="274">
        <v>54279.038</v>
      </c>
      <c r="AL200" s="274">
        <v>54528.408000000003</v>
      </c>
      <c r="AM200" s="274">
        <v>54799.048999999999</v>
      </c>
      <c r="AN200" s="274">
        <v>55084.677000000003</v>
      </c>
      <c r="AO200" s="274">
        <v>55379.923000000003</v>
      </c>
      <c r="AP200" s="274">
        <v>55686.61</v>
      </c>
      <c r="AQ200" s="274">
        <v>56005.442999999999</v>
      </c>
      <c r="AR200" s="274">
        <v>56328.053</v>
      </c>
      <c r="AS200" s="274">
        <v>56643.349000000002</v>
      </c>
      <c r="AT200" s="274">
        <v>56943.298999999999</v>
      </c>
      <c r="AU200" s="274">
        <v>57226.523999999998</v>
      </c>
      <c r="AV200" s="274">
        <v>57495.252</v>
      </c>
      <c r="AW200" s="274">
        <v>57749.881000000001</v>
      </c>
      <c r="AX200" s="274">
        <v>57991.972999999998</v>
      </c>
      <c r="AY200" s="274">
        <v>58224.050999999999</v>
      </c>
      <c r="AZ200" s="274">
        <v>58443.317999999999</v>
      </c>
      <c r="BA200" s="274">
        <v>58652.709000000003</v>
      </c>
      <c r="BB200" s="274">
        <v>58867.464999999997</v>
      </c>
      <c r="BC200" s="274">
        <v>59107.737999999998</v>
      </c>
      <c r="BD200" s="274">
        <v>59387.182999999997</v>
      </c>
      <c r="BE200" s="274">
        <v>59711.913999999997</v>
      </c>
      <c r="BF200" s="274">
        <v>60075.783000000003</v>
      </c>
      <c r="BG200" s="274">
        <v>60464.857000000004</v>
      </c>
      <c r="BH200" s="274">
        <v>60858.654000000002</v>
      </c>
      <c r="BI200" s="274">
        <v>61241.7</v>
      </c>
      <c r="BJ200" s="274">
        <v>61609.991000000002</v>
      </c>
      <c r="BK200" s="274">
        <v>61966.192999999999</v>
      </c>
      <c r="BL200" s="274">
        <v>62309.529000000002</v>
      </c>
      <c r="BM200" s="274">
        <v>62640.900999999998</v>
      </c>
      <c r="BN200" s="274">
        <v>62961.135999999999</v>
      </c>
      <c r="BO200" s="274">
        <v>63268.404999999999</v>
      </c>
      <c r="BP200" s="274">
        <v>63561.798000000003</v>
      </c>
      <c r="BQ200" s="274">
        <v>63844.529000000002</v>
      </c>
      <c r="BR200" s="274">
        <v>64121.249000000003</v>
      </c>
      <c r="BS200" s="274">
        <v>64395.345000000001</v>
      </c>
    </row>
    <row r="201" spans="1:71" x14ac:dyDescent="0.4">
      <c r="A201" s="270">
        <v>182</v>
      </c>
      <c r="B201" s="271" t="s">
        <v>890</v>
      </c>
      <c r="C201" s="276" t="s">
        <v>418</v>
      </c>
      <c r="D201" s="273"/>
      <c r="E201" s="273">
        <v>276</v>
      </c>
      <c r="F201" s="274">
        <v>69786.245999999999</v>
      </c>
      <c r="G201" s="274">
        <v>70111.671000000002</v>
      </c>
      <c r="H201" s="274">
        <v>70421.462</v>
      </c>
      <c r="I201" s="274">
        <v>70720.721000000005</v>
      </c>
      <c r="J201" s="274">
        <v>71015.687999999995</v>
      </c>
      <c r="K201" s="274">
        <v>71313.740000000005</v>
      </c>
      <c r="L201" s="274">
        <v>71623.569000000003</v>
      </c>
      <c r="M201" s="274">
        <v>71955.005000000005</v>
      </c>
      <c r="N201" s="274">
        <v>72318.498000000007</v>
      </c>
      <c r="O201" s="274">
        <v>72724.259999999995</v>
      </c>
      <c r="P201" s="274">
        <v>73179.664999999994</v>
      </c>
      <c r="Q201" s="274">
        <v>73686.490000000005</v>
      </c>
      <c r="R201" s="274">
        <v>74238.494000000006</v>
      </c>
      <c r="S201" s="274">
        <v>74820.388999999996</v>
      </c>
      <c r="T201" s="274">
        <v>75410.766000000003</v>
      </c>
      <c r="U201" s="274">
        <v>75990.736999999994</v>
      </c>
      <c r="V201" s="274">
        <v>76558.016000000003</v>
      </c>
      <c r="W201" s="274">
        <v>77106.876000000004</v>
      </c>
      <c r="X201" s="274">
        <v>77611</v>
      </c>
      <c r="Y201" s="274">
        <v>78038.270999999993</v>
      </c>
      <c r="Z201" s="274">
        <v>78366.604999999996</v>
      </c>
      <c r="AA201" s="274">
        <v>78584.778999999995</v>
      </c>
      <c r="AB201" s="274">
        <v>78700.104000000007</v>
      </c>
      <c r="AC201" s="274">
        <v>78732.884000000005</v>
      </c>
      <c r="AD201" s="274">
        <v>78713.928</v>
      </c>
      <c r="AE201" s="274">
        <v>78667.327000000005</v>
      </c>
      <c r="AF201" s="274">
        <v>78604.472999999998</v>
      </c>
      <c r="AG201" s="274">
        <v>78524.726999999999</v>
      </c>
      <c r="AH201" s="274">
        <v>78426.714999999997</v>
      </c>
      <c r="AI201" s="274">
        <v>78305.017000000007</v>
      </c>
      <c r="AJ201" s="274">
        <v>78159.527000000002</v>
      </c>
      <c r="AK201" s="274">
        <v>77990.369000000006</v>
      </c>
      <c r="AL201" s="274">
        <v>77812.347999999998</v>
      </c>
      <c r="AM201" s="274">
        <v>77657.451000000001</v>
      </c>
      <c r="AN201" s="274">
        <v>77566.775999999998</v>
      </c>
      <c r="AO201" s="274">
        <v>77570.009000000005</v>
      </c>
      <c r="AP201" s="274">
        <v>77671.876999999993</v>
      </c>
      <c r="AQ201" s="274">
        <v>77864.380999999994</v>
      </c>
      <c r="AR201" s="274">
        <v>78146.937999999995</v>
      </c>
      <c r="AS201" s="274">
        <v>78514.789999999994</v>
      </c>
      <c r="AT201" s="274">
        <v>78958.236999999994</v>
      </c>
      <c r="AU201" s="274">
        <v>79483.739000000001</v>
      </c>
      <c r="AV201" s="274">
        <v>80075.94</v>
      </c>
      <c r="AW201" s="274">
        <v>80675.998999999996</v>
      </c>
      <c r="AX201" s="274">
        <v>81206.785999999993</v>
      </c>
      <c r="AY201" s="274">
        <v>81612.899999999994</v>
      </c>
      <c r="AZ201" s="274">
        <v>81870.771999999997</v>
      </c>
      <c r="BA201" s="274">
        <v>81993.831000000006</v>
      </c>
      <c r="BB201" s="274">
        <v>82010.183999999994</v>
      </c>
      <c r="BC201" s="274">
        <v>81965.83</v>
      </c>
      <c r="BD201" s="274">
        <v>81895.925000000003</v>
      </c>
      <c r="BE201" s="274">
        <v>81809.437999999995</v>
      </c>
      <c r="BF201" s="274">
        <v>81699.828999999998</v>
      </c>
      <c r="BG201" s="274">
        <v>81569.481</v>
      </c>
      <c r="BH201" s="274">
        <v>81417.790999999997</v>
      </c>
      <c r="BI201" s="274">
        <v>81246.801000000007</v>
      </c>
      <c r="BJ201" s="274">
        <v>81055.903999999995</v>
      </c>
      <c r="BK201" s="274">
        <v>80854.514999999999</v>
      </c>
      <c r="BL201" s="274">
        <v>80665.906000000003</v>
      </c>
      <c r="BM201" s="274">
        <v>80519.684999999998</v>
      </c>
      <c r="BN201" s="274">
        <v>80435.307000000001</v>
      </c>
      <c r="BO201" s="274">
        <v>80424.664999999994</v>
      </c>
      <c r="BP201" s="274">
        <v>80477.952000000005</v>
      </c>
      <c r="BQ201" s="274">
        <v>80565.861000000004</v>
      </c>
      <c r="BR201" s="274">
        <v>80646.262000000002</v>
      </c>
      <c r="BS201" s="274">
        <v>80688.544999999998</v>
      </c>
    </row>
    <row r="202" spans="1:71" x14ac:dyDescent="0.4">
      <c r="A202" s="270">
        <v>183</v>
      </c>
      <c r="B202" s="271" t="s">
        <v>890</v>
      </c>
      <c r="C202" s="276" t="s">
        <v>536</v>
      </c>
      <c r="D202" s="273"/>
      <c r="E202" s="273">
        <v>438</v>
      </c>
      <c r="F202" s="274">
        <v>13.757</v>
      </c>
      <c r="G202" s="274">
        <v>13.942</v>
      </c>
      <c r="H202" s="274">
        <v>14.135</v>
      </c>
      <c r="I202" s="274">
        <v>14.342000000000001</v>
      </c>
      <c r="J202" s="274">
        <v>14.571999999999999</v>
      </c>
      <c r="K202" s="274">
        <v>14.829000000000001</v>
      </c>
      <c r="L202" s="274">
        <v>15.115</v>
      </c>
      <c r="M202" s="274">
        <v>15.429</v>
      </c>
      <c r="N202" s="274">
        <v>15.766999999999999</v>
      </c>
      <c r="O202" s="274">
        <v>16.128</v>
      </c>
      <c r="P202" s="274">
        <v>16.504000000000001</v>
      </c>
      <c r="Q202" s="274">
        <v>16.893999999999998</v>
      </c>
      <c r="R202" s="274">
        <v>17.297999999999998</v>
      </c>
      <c r="S202" s="274">
        <v>17.722000000000001</v>
      </c>
      <c r="T202" s="274">
        <v>18.170000000000002</v>
      </c>
      <c r="U202" s="274">
        <v>18.646999999999998</v>
      </c>
      <c r="V202" s="274">
        <v>19.155999999999999</v>
      </c>
      <c r="W202" s="274">
        <v>19.690999999999999</v>
      </c>
      <c r="X202" s="274">
        <v>20.234999999999999</v>
      </c>
      <c r="Y202" s="274">
        <v>20.765000000000001</v>
      </c>
      <c r="Z202" s="274">
        <v>21.265999999999998</v>
      </c>
      <c r="AA202" s="274">
        <v>21.725999999999999</v>
      </c>
      <c r="AB202" s="274">
        <v>22.152999999999999</v>
      </c>
      <c r="AC202" s="274">
        <v>22.562000000000001</v>
      </c>
      <c r="AD202" s="274">
        <v>22.984000000000002</v>
      </c>
      <c r="AE202" s="274">
        <v>23.434999999999999</v>
      </c>
      <c r="AF202" s="274">
        <v>23.925999999999998</v>
      </c>
      <c r="AG202" s="274">
        <v>24.443999999999999</v>
      </c>
      <c r="AH202" s="274">
        <v>24.963000000000001</v>
      </c>
      <c r="AI202" s="274">
        <v>25.446999999999999</v>
      </c>
      <c r="AJ202" s="274">
        <v>25.869</v>
      </c>
      <c r="AK202" s="274">
        <v>26.221</v>
      </c>
      <c r="AL202" s="274">
        <v>26.513999999999999</v>
      </c>
      <c r="AM202" s="274">
        <v>26.768000000000001</v>
      </c>
      <c r="AN202" s="274">
        <v>27.009</v>
      </c>
      <c r="AO202" s="274">
        <v>27.259</v>
      </c>
      <c r="AP202" s="274">
        <v>27.523</v>
      </c>
      <c r="AQ202" s="274">
        <v>27.798999999999999</v>
      </c>
      <c r="AR202" s="274">
        <v>28.091000000000001</v>
      </c>
      <c r="AS202" s="274">
        <v>28.405000000000001</v>
      </c>
      <c r="AT202" s="274">
        <v>28.745000000000001</v>
      </c>
      <c r="AU202" s="274">
        <v>29.111000000000001</v>
      </c>
      <c r="AV202" s="274">
        <v>29.503</v>
      </c>
      <c r="AW202" s="274">
        <v>29.920999999999999</v>
      </c>
      <c r="AX202" s="274">
        <v>30.364999999999998</v>
      </c>
      <c r="AY202" s="274">
        <v>30.832999999999998</v>
      </c>
      <c r="AZ202" s="274">
        <v>31.327000000000002</v>
      </c>
      <c r="BA202" s="274">
        <v>31.841999999999999</v>
      </c>
      <c r="BB202" s="274">
        <v>32.356999999999999</v>
      </c>
      <c r="BC202" s="274">
        <v>32.843000000000004</v>
      </c>
      <c r="BD202" s="274">
        <v>33.281999999999996</v>
      </c>
      <c r="BE202" s="274">
        <v>33.662999999999997</v>
      </c>
      <c r="BF202" s="274">
        <v>33.994999999999997</v>
      </c>
      <c r="BG202" s="274">
        <v>34.29</v>
      </c>
      <c r="BH202" s="274">
        <v>34.569000000000003</v>
      </c>
      <c r="BI202" s="274">
        <v>34.851999999999997</v>
      </c>
      <c r="BJ202" s="274">
        <v>35.140999999999998</v>
      </c>
      <c r="BK202" s="274">
        <v>35.430999999999997</v>
      </c>
      <c r="BL202" s="274">
        <v>35.720999999999997</v>
      </c>
      <c r="BM202" s="274">
        <v>36.003999999999998</v>
      </c>
      <c r="BN202" s="274">
        <v>36.276000000000003</v>
      </c>
      <c r="BO202" s="274">
        <v>36.536999999999999</v>
      </c>
      <c r="BP202" s="274">
        <v>36.790999999999997</v>
      </c>
      <c r="BQ202" s="274">
        <v>37.04</v>
      </c>
      <c r="BR202" s="274">
        <v>37.286000000000001</v>
      </c>
      <c r="BS202" s="274">
        <v>37.530999999999999</v>
      </c>
    </row>
    <row r="203" spans="1:71" x14ac:dyDescent="0.4">
      <c r="A203" s="270">
        <v>184</v>
      </c>
      <c r="B203" s="271" t="s">
        <v>890</v>
      </c>
      <c r="C203" s="276" t="s">
        <v>544</v>
      </c>
      <c r="D203" s="273"/>
      <c r="E203" s="273">
        <v>442</v>
      </c>
      <c r="F203" s="274">
        <v>296.00099999999998</v>
      </c>
      <c r="G203" s="274">
        <v>297.58800000000002</v>
      </c>
      <c r="H203" s="274">
        <v>299.49900000000002</v>
      </c>
      <c r="I203" s="274">
        <v>301.505</v>
      </c>
      <c r="J203" s="274">
        <v>303.452</v>
      </c>
      <c r="K203" s="274">
        <v>305.26499999999999</v>
      </c>
      <c r="L203" s="274">
        <v>306.94299999999998</v>
      </c>
      <c r="M203" s="274">
        <v>308.56200000000001</v>
      </c>
      <c r="N203" s="274">
        <v>310.26</v>
      </c>
      <c r="O203" s="274">
        <v>312.21600000000001</v>
      </c>
      <c r="P203" s="274">
        <v>314.58600000000001</v>
      </c>
      <c r="Q203" s="274">
        <v>317.44200000000001</v>
      </c>
      <c r="R203" s="274">
        <v>320.70400000000001</v>
      </c>
      <c r="S203" s="274">
        <v>324.12700000000001</v>
      </c>
      <c r="T203" s="274">
        <v>327.36099999999999</v>
      </c>
      <c r="U203" s="274">
        <v>330.16399999999999</v>
      </c>
      <c r="V203" s="274">
        <v>332.42099999999999</v>
      </c>
      <c r="W203" s="274">
        <v>334.23099999999999</v>
      </c>
      <c r="X203" s="274">
        <v>335.83100000000002</v>
      </c>
      <c r="Y203" s="274">
        <v>337.565</v>
      </c>
      <c r="Z203" s="274">
        <v>339.673</v>
      </c>
      <c r="AA203" s="274">
        <v>342.22399999999999</v>
      </c>
      <c r="AB203" s="274">
        <v>345.108</v>
      </c>
      <c r="AC203" s="274">
        <v>348.173</v>
      </c>
      <c r="AD203" s="274">
        <v>351.19</v>
      </c>
      <c r="AE203" s="274">
        <v>353.98399999999998</v>
      </c>
      <c r="AF203" s="274">
        <v>356.56299999999999</v>
      </c>
      <c r="AG203" s="274">
        <v>358.96100000000001</v>
      </c>
      <c r="AH203" s="274">
        <v>361.07799999999997</v>
      </c>
      <c r="AI203" s="274">
        <v>362.791</v>
      </c>
      <c r="AJ203" s="274">
        <v>364.04399999999998</v>
      </c>
      <c r="AK203" s="274">
        <v>364.779</v>
      </c>
      <c r="AL203" s="274">
        <v>365.09800000000001</v>
      </c>
      <c r="AM203" s="274">
        <v>365.30099999999999</v>
      </c>
      <c r="AN203" s="274">
        <v>365.79500000000002</v>
      </c>
      <c r="AO203" s="274">
        <v>366.88400000000001</v>
      </c>
      <c r="AP203" s="274">
        <v>368.66199999999998</v>
      </c>
      <c r="AQ203" s="274">
        <v>371.07900000000001</v>
      </c>
      <c r="AR203" s="274">
        <v>374.11700000000002</v>
      </c>
      <c r="AS203" s="274">
        <v>377.70800000000003</v>
      </c>
      <c r="AT203" s="274">
        <v>381.78699999999998</v>
      </c>
      <c r="AU203" s="274">
        <v>386.35500000000002</v>
      </c>
      <c r="AV203" s="274">
        <v>391.4</v>
      </c>
      <c r="AW203" s="274">
        <v>396.80700000000002</v>
      </c>
      <c r="AX203" s="274">
        <v>402.43099999999998</v>
      </c>
      <c r="AY203" s="274">
        <v>408.14800000000002</v>
      </c>
      <c r="AZ203" s="274">
        <v>414</v>
      </c>
      <c r="BA203" s="274">
        <v>419.97399999999999</v>
      </c>
      <c r="BB203" s="274">
        <v>425.83</v>
      </c>
      <c r="BC203" s="274">
        <v>431.26400000000001</v>
      </c>
      <c r="BD203" s="274">
        <v>436.10700000000003</v>
      </c>
      <c r="BE203" s="274">
        <v>440.19799999999998</v>
      </c>
      <c r="BF203" s="274">
        <v>443.72899999999998</v>
      </c>
      <c r="BG203" s="274">
        <v>447.32100000000003</v>
      </c>
      <c r="BH203" s="274">
        <v>451.82600000000002</v>
      </c>
      <c r="BI203" s="274">
        <v>457.84699999999998</v>
      </c>
      <c r="BJ203" s="274">
        <v>465.54599999999999</v>
      </c>
      <c r="BK203" s="274">
        <v>474.70499999999998</v>
      </c>
      <c r="BL203" s="274">
        <v>485.07900000000001</v>
      </c>
      <c r="BM203" s="274">
        <v>496.25700000000001</v>
      </c>
      <c r="BN203" s="274">
        <v>507.88900000000001</v>
      </c>
      <c r="BO203" s="274">
        <v>519.98099999999999</v>
      </c>
      <c r="BP203" s="274">
        <v>532.47900000000004</v>
      </c>
      <c r="BQ203" s="274">
        <v>544.88499999999999</v>
      </c>
      <c r="BR203" s="274">
        <v>556.57299999999998</v>
      </c>
      <c r="BS203" s="274">
        <v>567.11</v>
      </c>
    </row>
    <row r="204" spans="1:71" x14ac:dyDescent="0.4">
      <c r="A204" s="270">
        <v>185</v>
      </c>
      <c r="B204" s="271" t="s">
        <v>890</v>
      </c>
      <c r="C204" s="276" t="s">
        <v>584</v>
      </c>
      <c r="D204" s="273"/>
      <c r="E204" s="273">
        <v>492</v>
      </c>
      <c r="F204" s="274">
        <v>20</v>
      </c>
      <c r="G204" s="274">
        <v>19.378</v>
      </c>
      <c r="H204" s="274">
        <v>19.077000000000002</v>
      </c>
      <c r="I204" s="274">
        <v>19.053000000000001</v>
      </c>
      <c r="J204" s="274">
        <v>19.263999999999999</v>
      </c>
      <c r="K204" s="274">
        <v>19.658000000000001</v>
      </c>
      <c r="L204" s="274">
        <v>20.184000000000001</v>
      </c>
      <c r="M204" s="274">
        <v>20.785</v>
      </c>
      <c r="N204" s="274">
        <v>21.4</v>
      </c>
      <c r="O204" s="274">
        <v>21.972999999999999</v>
      </c>
      <c r="P204" s="274">
        <v>22.454000000000001</v>
      </c>
      <c r="Q204" s="274">
        <v>22.812000000000001</v>
      </c>
      <c r="R204" s="274">
        <v>23.042000000000002</v>
      </c>
      <c r="S204" s="274">
        <v>23.169</v>
      </c>
      <c r="T204" s="274">
        <v>23.236999999999998</v>
      </c>
      <c r="U204" s="274">
        <v>23.283000000000001</v>
      </c>
      <c r="V204" s="274">
        <v>23.303999999999998</v>
      </c>
      <c r="W204" s="274">
        <v>23.297000000000001</v>
      </c>
      <c r="X204" s="274">
        <v>23.295999999999999</v>
      </c>
      <c r="Y204" s="274">
        <v>23.347999999999999</v>
      </c>
      <c r="Z204" s="274">
        <v>23.484000000000002</v>
      </c>
      <c r="AA204" s="274">
        <v>23.722000000000001</v>
      </c>
      <c r="AB204" s="274">
        <v>24.052</v>
      </c>
      <c r="AC204" s="274">
        <v>24.44</v>
      </c>
      <c r="AD204" s="274">
        <v>24.835000000000001</v>
      </c>
      <c r="AE204" s="274">
        <v>25.201000000000001</v>
      </c>
      <c r="AF204" s="274">
        <v>25.521000000000001</v>
      </c>
      <c r="AG204" s="274">
        <v>25.809000000000001</v>
      </c>
      <c r="AH204" s="274">
        <v>26.085999999999999</v>
      </c>
      <c r="AI204" s="274">
        <v>26.390999999999998</v>
      </c>
      <c r="AJ204" s="274">
        <v>26.745999999999999</v>
      </c>
      <c r="AK204" s="274">
        <v>27.164999999999999</v>
      </c>
      <c r="AL204" s="274">
        <v>27.629000000000001</v>
      </c>
      <c r="AM204" s="274">
        <v>28.097999999999999</v>
      </c>
      <c r="AN204" s="274">
        <v>28.513999999999999</v>
      </c>
      <c r="AO204" s="274">
        <v>28.835999999999999</v>
      </c>
      <c r="AP204" s="274">
        <v>29.047999999999998</v>
      </c>
      <c r="AQ204" s="274">
        <v>29.169</v>
      </c>
      <c r="AR204" s="274">
        <v>29.238</v>
      </c>
      <c r="AS204" s="274">
        <v>29.312999999999999</v>
      </c>
      <c r="AT204" s="274">
        <v>29.437999999999999</v>
      </c>
      <c r="AU204" s="274">
        <v>29.626000000000001</v>
      </c>
      <c r="AV204" s="274">
        <v>29.864000000000001</v>
      </c>
      <c r="AW204" s="274">
        <v>30.138000000000002</v>
      </c>
      <c r="AX204" s="274">
        <v>30.422999999999998</v>
      </c>
      <c r="AY204" s="274">
        <v>30.7</v>
      </c>
      <c r="AZ204" s="274">
        <v>30.971</v>
      </c>
      <c r="BA204" s="274">
        <v>31.242000000000001</v>
      </c>
      <c r="BB204" s="274">
        <v>31.516999999999999</v>
      </c>
      <c r="BC204" s="274">
        <v>31.795000000000002</v>
      </c>
      <c r="BD204" s="274">
        <v>32.081000000000003</v>
      </c>
      <c r="BE204" s="274">
        <v>32.363999999999997</v>
      </c>
      <c r="BF204" s="274">
        <v>32.648000000000003</v>
      </c>
      <c r="BG204" s="274">
        <v>32.96</v>
      </c>
      <c r="BH204" s="274">
        <v>33.338999999999999</v>
      </c>
      <c r="BI204" s="274">
        <v>33.808</v>
      </c>
      <c r="BJ204" s="274">
        <v>34.384</v>
      </c>
      <c r="BK204" s="274">
        <v>35.045999999999999</v>
      </c>
      <c r="BL204" s="274">
        <v>35.731000000000002</v>
      </c>
      <c r="BM204" s="274">
        <v>36.350999999999999</v>
      </c>
      <c r="BN204" s="274">
        <v>36.844999999999999</v>
      </c>
      <c r="BO204" s="274">
        <v>37.189</v>
      </c>
      <c r="BP204" s="274">
        <v>37.404000000000003</v>
      </c>
      <c r="BQ204" s="274">
        <v>37.527999999999999</v>
      </c>
      <c r="BR204" s="274">
        <v>37.622999999999998</v>
      </c>
      <c r="BS204" s="274">
        <v>37.731000000000002</v>
      </c>
    </row>
    <row r="205" spans="1:71" x14ac:dyDescent="0.4">
      <c r="A205" s="270">
        <v>186</v>
      </c>
      <c r="B205" s="271" t="s">
        <v>890</v>
      </c>
      <c r="C205" s="276" t="s">
        <v>614</v>
      </c>
      <c r="D205" s="273"/>
      <c r="E205" s="273">
        <v>528</v>
      </c>
      <c r="F205" s="274">
        <v>10027.047</v>
      </c>
      <c r="G205" s="274">
        <v>10148.714</v>
      </c>
      <c r="H205" s="274">
        <v>10275.700999999999</v>
      </c>
      <c r="I205" s="274">
        <v>10407.107</v>
      </c>
      <c r="J205" s="274">
        <v>10542.244000000001</v>
      </c>
      <c r="K205" s="274">
        <v>10680.632</v>
      </c>
      <c r="L205" s="274">
        <v>10822.018</v>
      </c>
      <c r="M205" s="274">
        <v>10966.358</v>
      </c>
      <c r="N205" s="274">
        <v>11113.776</v>
      </c>
      <c r="O205" s="274">
        <v>11264.501</v>
      </c>
      <c r="P205" s="274">
        <v>11418.652</v>
      </c>
      <c r="Q205" s="274">
        <v>11576.023999999999</v>
      </c>
      <c r="R205" s="274">
        <v>11735.896000000001</v>
      </c>
      <c r="S205" s="274">
        <v>11896.941999999999</v>
      </c>
      <c r="T205" s="274">
        <v>12057.475</v>
      </c>
      <c r="U205" s="274">
        <v>12216.121999999999</v>
      </c>
      <c r="V205" s="274">
        <v>12372.136</v>
      </c>
      <c r="W205" s="274">
        <v>12525.253000000001</v>
      </c>
      <c r="X205" s="274">
        <v>12675.175999999999</v>
      </c>
      <c r="Y205" s="274">
        <v>12821.786</v>
      </c>
      <c r="Z205" s="274">
        <v>12964.88</v>
      </c>
      <c r="AA205" s="274">
        <v>13104.216</v>
      </c>
      <c r="AB205" s="274">
        <v>13239.282999999999</v>
      </c>
      <c r="AC205" s="274">
        <v>13369.325999999999</v>
      </c>
      <c r="AD205" s="274">
        <v>13493.46</v>
      </c>
      <c r="AE205" s="274">
        <v>13611.064</v>
      </c>
      <c r="AF205" s="274">
        <v>13722.272000000001</v>
      </c>
      <c r="AG205" s="274">
        <v>13827.329</v>
      </c>
      <c r="AH205" s="274">
        <v>13925.97</v>
      </c>
      <c r="AI205" s="274">
        <v>14017.909</v>
      </c>
      <c r="AJ205" s="274">
        <v>14103.279</v>
      </c>
      <c r="AK205" s="274">
        <v>14181.967000000001</v>
      </c>
      <c r="AL205" s="274">
        <v>14255.050999999999</v>
      </c>
      <c r="AM205" s="274">
        <v>14325.362999999999</v>
      </c>
      <c r="AN205" s="274">
        <v>14396.606</v>
      </c>
      <c r="AO205" s="274">
        <v>14471.591</v>
      </c>
      <c r="AP205" s="274">
        <v>14551.065000000001</v>
      </c>
      <c r="AQ205" s="274">
        <v>14634.787</v>
      </c>
      <c r="AR205" s="274">
        <v>14723.266</v>
      </c>
      <c r="AS205" s="274">
        <v>14816.751</v>
      </c>
      <c r="AT205" s="274">
        <v>14915.138999999999</v>
      </c>
      <c r="AU205" s="274">
        <v>15019.183999999999</v>
      </c>
      <c r="AV205" s="274">
        <v>15128.288</v>
      </c>
      <c r="AW205" s="274">
        <v>15239.262000000001</v>
      </c>
      <c r="AX205" s="274">
        <v>15347.791999999999</v>
      </c>
      <c r="AY205" s="274">
        <v>15450.803</v>
      </c>
      <c r="AZ205" s="274">
        <v>15546.647000000001</v>
      </c>
      <c r="BA205" s="274">
        <v>15636.130999999999</v>
      </c>
      <c r="BB205" s="274">
        <v>15721.627</v>
      </c>
      <c r="BC205" s="274">
        <v>15806.771000000001</v>
      </c>
      <c r="BD205" s="274">
        <v>15894.016</v>
      </c>
      <c r="BE205" s="274">
        <v>15984.365</v>
      </c>
      <c r="BF205" s="274">
        <v>16076.427</v>
      </c>
      <c r="BG205" s="274">
        <v>16167.421</v>
      </c>
      <c r="BH205" s="274">
        <v>16253.397000000001</v>
      </c>
      <c r="BI205" s="274">
        <v>16331.646000000001</v>
      </c>
      <c r="BJ205" s="274">
        <v>16401.105</v>
      </c>
      <c r="BK205" s="274">
        <v>16463.030999999999</v>
      </c>
      <c r="BL205" s="274">
        <v>16519.862000000001</v>
      </c>
      <c r="BM205" s="274">
        <v>16575.172999999999</v>
      </c>
      <c r="BN205" s="274">
        <v>16631.571</v>
      </c>
      <c r="BO205" s="274">
        <v>16689.863000000001</v>
      </c>
      <c r="BP205" s="274">
        <v>16749.317999999999</v>
      </c>
      <c r="BQ205" s="274">
        <v>16809.156999999999</v>
      </c>
      <c r="BR205" s="274">
        <v>16868.02</v>
      </c>
      <c r="BS205" s="274">
        <v>16924.929</v>
      </c>
    </row>
    <row r="206" spans="1:71" x14ac:dyDescent="0.4">
      <c r="A206" s="270">
        <v>187</v>
      </c>
      <c r="B206" s="271" t="s">
        <v>890</v>
      </c>
      <c r="C206" s="276" t="s">
        <v>779</v>
      </c>
      <c r="D206" s="273"/>
      <c r="E206" s="273">
        <v>756</v>
      </c>
      <c r="F206" s="274">
        <v>4668.0879999999997</v>
      </c>
      <c r="G206" s="274">
        <v>4726.2830000000004</v>
      </c>
      <c r="H206" s="274">
        <v>4788.9579999999996</v>
      </c>
      <c r="I206" s="274">
        <v>4851.9870000000001</v>
      </c>
      <c r="J206" s="274">
        <v>4912.8850000000002</v>
      </c>
      <c r="K206" s="274">
        <v>4970.8100000000004</v>
      </c>
      <c r="L206" s="274">
        <v>5026.6639999999998</v>
      </c>
      <c r="M206" s="274">
        <v>5082.9930000000004</v>
      </c>
      <c r="N206" s="274">
        <v>5143.6719999999996</v>
      </c>
      <c r="O206" s="274">
        <v>5213.3969999999999</v>
      </c>
      <c r="P206" s="274">
        <v>5296.12</v>
      </c>
      <c r="Q206" s="274">
        <v>5393.4110000000001</v>
      </c>
      <c r="R206" s="274">
        <v>5503</v>
      </c>
      <c r="S206" s="274">
        <v>5618.16</v>
      </c>
      <c r="T206" s="274">
        <v>5729.4650000000001</v>
      </c>
      <c r="U206" s="274">
        <v>5829.9579999999996</v>
      </c>
      <c r="V206" s="274">
        <v>5916.9110000000001</v>
      </c>
      <c r="W206" s="274">
        <v>5991.6809999999996</v>
      </c>
      <c r="X206" s="274">
        <v>6056.3580000000002</v>
      </c>
      <c r="Y206" s="274">
        <v>6114.7190000000001</v>
      </c>
      <c r="Z206" s="274">
        <v>6169.357</v>
      </c>
      <c r="AA206" s="274">
        <v>6221.634</v>
      </c>
      <c r="AB206" s="274">
        <v>6270.1120000000001</v>
      </c>
      <c r="AC206" s="274">
        <v>6311.4679999999998</v>
      </c>
      <c r="AD206" s="274">
        <v>6341.0510000000004</v>
      </c>
      <c r="AE206" s="274">
        <v>6356.1779999999999</v>
      </c>
      <c r="AF206" s="274">
        <v>6355.2449999999999</v>
      </c>
      <c r="AG206" s="274">
        <v>6341.2160000000003</v>
      </c>
      <c r="AH206" s="274">
        <v>6321.5829999999996</v>
      </c>
      <c r="AI206" s="274">
        <v>6306.5780000000004</v>
      </c>
      <c r="AJ206" s="274">
        <v>6303.6080000000002</v>
      </c>
      <c r="AK206" s="274">
        <v>6315.799</v>
      </c>
      <c r="AL206" s="274">
        <v>6341.3689999999997</v>
      </c>
      <c r="AM206" s="274">
        <v>6376.7910000000002</v>
      </c>
      <c r="AN206" s="274">
        <v>6416.2749999999996</v>
      </c>
      <c r="AO206" s="274">
        <v>6455.68</v>
      </c>
      <c r="AP206" s="274">
        <v>6493.442</v>
      </c>
      <c r="AQ206" s="274">
        <v>6531.16</v>
      </c>
      <c r="AR206" s="274">
        <v>6571.4610000000002</v>
      </c>
      <c r="AS206" s="274">
        <v>6618.268</v>
      </c>
      <c r="AT206" s="274">
        <v>6673.92</v>
      </c>
      <c r="AU206" s="274">
        <v>6739.9949999999999</v>
      </c>
      <c r="AV206" s="274">
        <v>6814.1859999999997</v>
      </c>
      <c r="AW206" s="274">
        <v>6890.3</v>
      </c>
      <c r="AX206" s="274">
        <v>6959.86</v>
      </c>
      <c r="AY206" s="274">
        <v>7017.0420000000004</v>
      </c>
      <c r="AZ206" s="274">
        <v>7059.6329999999998</v>
      </c>
      <c r="BA206" s="274">
        <v>7090.1760000000004</v>
      </c>
      <c r="BB206" s="274">
        <v>7113.5050000000001</v>
      </c>
      <c r="BC206" s="274">
        <v>7136.8130000000001</v>
      </c>
      <c r="BD206" s="274">
        <v>7165.5810000000001</v>
      </c>
      <c r="BE206" s="274">
        <v>7200.9449999999997</v>
      </c>
      <c r="BF206" s="274">
        <v>7242.0339999999997</v>
      </c>
      <c r="BG206" s="274">
        <v>7289.9009999999998</v>
      </c>
      <c r="BH206" s="274">
        <v>7345.299</v>
      </c>
      <c r="BI206" s="274">
        <v>7408.6080000000002</v>
      </c>
      <c r="BJ206" s="274">
        <v>7480.317</v>
      </c>
      <c r="BK206" s="274">
        <v>7560.1409999999996</v>
      </c>
      <c r="BL206" s="274">
        <v>7646.5420000000004</v>
      </c>
      <c r="BM206" s="274">
        <v>7737.3159999999998</v>
      </c>
      <c r="BN206" s="274">
        <v>7830.5339999999997</v>
      </c>
      <c r="BO206" s="274">
        <v>7925.8130000000001</v>
      </c>
      <c r="BP206" s="274">
        <v>8022.6279999999997</v>
      </c>
      <c r="BQ206" s="274">
        <v>8118.7190000000001</v>
      </c>
      <c r="BR206" s="274">
        <v>8211.3829999999998</v>
      </c>
      <c r="BS206" s="274">
        <v>8298.6630000000005</v>
      </c>
    </row>
    <row r="207" spans="1:71" x14ac:dyDescent="0.4">
      <c r="A207" s="270">
        <v>188</v>
      </c>
      <c r="B207" s="271" t="s">
        <v>890</v>
      </c>
      <c r="C207" s="272" t="s">
        <v>942</v>
      </c>
      <c r="D207" s="273"/>
      <c r="E207" s="273">
        <v>904</v>
      </c>
      <c r="F207" s="274">
        <v>168843.91099999999</v>
      </c>
      <c r="G207" s="274">
        <v>173398.06599999999</v>
      </c>
      <c r="H207" s="274">
        <v>178139.92499999999</v>
      </c>
      <c r="I207" s="274">
        <v>183034.62100000001</v>
      </c>
      <c r="J207" s="274">
        <v>188059.59700000001</v>
      </c>
      <c r="K207" s="274">
        <v>193204.516</v>
      </c>
      <c r="L207" s="274">
        <v>198472.098</v>
      </c>
      <c r="M207" s="274">
        <v>203877.315</v>
      </c>
      <c r="N207" s="274">
        <v>209445.212</v>
      </c>
      <c r="O207" s="274">
        <v>215207.20499999999</v>
      </c>
      <c r="P207" s="274">
        <v>221190.054</v>
      </c>
      <c r="Q207" s="274">
        <v>227404.06400000001</v>
      </c>
      <c r="R207" s="274">
        <v>233832.77499999999</v>
      </c>
      <c r="S207" s="274">
        <v>240428.55100000001</v>
      </c>
      <c r="T207" s="274">
        <v>247125.076</v>
      </c>
      <c r="U207" s="274">
        <v>253874.245</v>
      </c>
      <c r="V207" s="274">
        <v>260655.89300000001</v>
      </c>
      <c r="W207" s="274">
        <v>267481.68099999998</v>
      </c>
      <c r="X207" s="274">
        <v>274373.97600000002</v>
      </c>
      <c r="Y207" s="274">
        <v>281369.424</v>
      </c>
      <c r="Z207" s="274">
        <v>288493.51500000001</v>
      </c>
      <c r="AA207" s="274">
        <v>295750.00300000003</v>
      </c>
      <c r="AB207" s="274">
        <v>303125.03700000001</v>
      </c>
      <c r="AC207" s="274">
        <v>310605.701</v>
      </c>
      <c r="AD207" s="274">
        <v>318173.01299999998</v>
      </c>
      <c r="AE207" s="274">
        <v>325812.42700000003</v>
      </c>
      <c r="AF207" s="274">
        <v>333515.64799999999</v>
      </c>
      <c r="AG207" s="274">
        <v>341283.48499999999</v>
      </c>
      <c r="AH207" s="274">
        <v>349120.88199999998</v>
      </c>
      <c r="AI207" s="274">
        <v>357036.74699999997</v>
      </c>
      <c r="AJ207" s="274">
        <v>365034.84</v>
      </c>
      <c r="AK207" s="274">
        <v>373113.76699999999</v>
      </c>
      <c r="AL207" s="274">
        <v>381261.701</v>
      </c>
      <c r="AM207" s="274">
        <v>389459.08299999998</v>
      </c>
      <c r="AN207" s="274">
        <v>397680.64000000001</v>
      </c>
      <c r="AO207" s="274">
        <v>405906.17</v>
      </c>
      <c r="AP207" s="274">
        <v>414126.00099999999</v>
      </c>
      <c r="AQ207" s="274">
        <v>422337.56800000003</v>
      </c>
      <c r="AR207" s="274">
        <v>430536.57</v>
      </c>
      <c r="AS207" s="274">
        <v>438721.09299999999</v>
      </c>
      <c r="AT207" s="274">
        <v>446888.76699999999</v>
      </c>
      <c r="AU207" s="274">
        <v>455030.31199999998</v>
      </c>
      <c r="AV207" s="274">
        <v>463139.52100000001</v>
      </c>
      <c r="AW207" s="274">
        <v>471220.79800000001</v>
      </c>
      <c r="AX207" s="274">
        <v>479282.04599999997</v>
      </c>
      <c r="AY207" s="274">
        <v>487325.92700000003</v>
      </c>
      <c r="AZ207" s="274">
        <v>495357.342</v>
      </c>
      <c r="BA207" s="274">
        <v>503364.995</v>
      </c>
      <c r="BB207" s="274">
        <v>511316.20299999998</v>
      </c>
      <c r="BC207" s="274">
        <v>519167.67499999999</v>
      </c>
      <c r="BD207" s="274">
        <v>526889.94799999997</v>
      </c>
      <c r="BE207" s="274">
        <v>534467.72100000002</v>
      </c>
      <c r="BF207" s="274">
        <v>541913.27500000002</v>
      </c>
      <c r="BG207" s="274">
        <v>549258.80200000003</v>
      </c>
      <c r="BH207" s="274">
        <v>556551.59900000005</v>
      </c>
      <c r="BI207" s="274">
        <v>563825.875</v>
      </c>
      <c r="BJ207" s="274">
        <v>571089.27500000002</v>
      </c>
      <c r="BK207" s="274">
        <v>578330.64500000002</v>
      </c>
      <c r="BL207" s="274">
        <v>585542.34600000002</v>
      </c>
      <c r="BM207" s="274">
        <v>592710.44099999999</v>
      </c>
      <c r="BN207" s="274">
        <v>599822.99600000004</v>
      </c>
      <c r="BO207" s="274">
        <v>606877.93700000003</v>
      </c>
      <c r="BP207" s="274">
        <v>613873.88199999998</v>
      </c>
      <c r="BQ207" s="274">
        <v>620799.45600000001</v>
      </c>
      <c r="BR207" s="274">
        <v>627640.85199999996</v>
      </c>
      <c r="BS207" s="274">
        <v>634386.56700000004</v>
      </c>
    </row>
    <row r="208" spans="1:71" x14ac:dyDescent="0.4">
      <c r="A208" s="270">
        <v>189</v>
      </c>
      <c r="B208" s="271" t="s">
        <v>890</v>
      </c>
      <c r="C208" s="277" t="s">
        <v>943</v>
      </c>
      <c r="D208" s="273"/>
      <c r="E208" s="273">
        <v>915</v>
      </c>
      <c r="F208" s="274">
        <v>17075.653999999999</v>
      </c>
      <c r="G208" s="274">
        <v>17395.588</v>
      </c>
      <c r="H208" s="274">
        <v>17734.661</v>
      </c>
      <c r="I208" s="274">
        <v>18084.574000000001</v>
      </c>
      <c r="J208" s="274">
        <v>18439.852999999999</v>
      </c>
      <c r="K208" s="274">
        <v>18797.823</v>
      </c>
      <c r="L208" s="274">
        <v>19158.823</v>
      </c>
      <c r="M208" s="274">
        <v>19526.002</v>
      </c>
      <c r="N208" s="274">
        <v>19904.842000000001</v>
      </c>
      <c r="O208" s="274">
        <v>20302.317999999999</v>
      </c>
      <c r="P208" s="274">
        <v>20724.432000000001</v>
      </c>
      <c r="Q208" s="274">
        <v>21173.579000000002</v>
      </c>
      <c r="R208" s="274">
        <v>21646.214</v>
      </c>
      <c r="S208" s="274">
        <v>22131.875</v>
      </c>
      <c r="T208" s="274">
        <v>22615.98</v>
      </c>
      <c r="U208" s="274">
        <v>23088.124</v>
      </c>
      <c r="V208" s="274">
        <v>23543.508000000002</v>
      </c>
      <c r="W208" s="274">
        <v>23985.1</v>
      </c>
      <c r="X208" s="274">
        <v>24419.591</v>
      </c>
      <c r="Y208" s="274">
        <v>24857.371999999999</v>
      </c>
      <c r="Z208" s="274">
        <v>25305.561000000002</v>
      </c>
      <c r="AA208" s="274">
        <v>25766.583999999999</v>
      </c>
      <c r="AB208" s="274">
        <v>26236.670999999998</v>
      </c>
      <c r="AC208" s="274">
        <v>26709.395</v>
      </c>
      <c r="AD208" s="274">
        <v>27175.538</v>
      </c>
      <c r="AE208" s="274">
        <v>27628.678</v>
      </c>
      <c r="AF208" s="274">
        <v>28066.761999999999</v>
      </c>
      <c r="AG208" s="274">
        <v>28492.607</v>
      </c>
      <c r="AH208" s="274">
        <v>28910.643</v>
      </c>
      <c r="AI208" s="274">
        <v>29327.505000000001</v>
      </c>
      <c r="AJ208" s="274">
        <v>29748.212</v>
      </c>
      <c r="AK208" s="274">
        <v>30173.536</v>
      </c>
      <c r="AL208" s="274">
        <v>30602.452000000001</v>
      </c>
      <c r="AM208" s="274">
        <v>31035.977999999999</v>
      </c>
      <c r="AN208" s="274">
        <v>31474.937000000002</v>
      </c>
      <c r="AO208" s="274">
        <v>31919.598999999998</v>
      </c>
      <c r="AP208" s="274">
        <v>32370.425999999999</v>
      </c>
      <c r="AQ208" s="274">
        <v>32826.631999999998</v>
      </c>
      <c r="AR208" s="274">
        <v>33285.538</v>
      </c>
      <c r="AS208" s="274">
        <v>33743.519999999997</v>
      </c>
      <c r="AT208" s="274">
        <v>34197.595000000001</v>
      </c>
      <c r="AU208" s="274">
        <v>34646.741999999998</v>
      </c>
      <c r="AV208" s="274">
        <v>35090.589</v>
      </c>
      <c r="AW208" s="274">
        <v>35527.572</v>
      </c>
      <c r="AX208" s="274">
        <v>35956.082000000002</v>
      </c>
      <c r="AY208" s="274">
        <v>36374.921000000002</v>
      </c>
      <c r="AZ208" s="274">
        <v>36783.345000000001</v>
      </c>
      <c r="BA208" s="274">
        <v>37181.160000000003</v>
      </c>
      <c r="BB208" s="274">
        <v>37568.521000000001</v>
      </c>
      <c r="BC208" s="274">
        <v>37945.896000000001</v>
      </c>
      <c r="BD208" s="274">
        <v>38313.82</v>
      </c>
      <c r="BE208" s="274">
        <v>38672.417000000001</v>
      </c>
      <c r="BF208" s="274">
        <v>39022.012000000002</v>
      </c>
      <c r="BG208" s="274">
        <v>39363.641000000003</v>
      </c>
      <c r="BH208" s="274">
        <v>39698.642999999996</v>
      </c>
      <c r="BI208" s="274">
        <v>40028.199000000001</v>
      </c>
      <c r="BJ208" s="274">
        <v>40352.226000000002</v>
      </c>
      <c r="BK208" s="274">
        <v>40671.156000000003</v>
      </c>
      <c r="BL208" s="274">
        <v>40987.22</v>
      </c>
      <c r="BM208" s="274">
        <v>41303.22</v>
      </c>
      <c r="BN208" s="274">
        <v>41620.898999999998</v>
      </c>
      <c r="BO208" s="274">
        <v>41941.463000000003</v>
      </c>
      <c r="BP208" s="274">
        <v>42263.722999999998</v>
      </c>
      <c r="BQ208" s="274">
        <v>42583.989000000001</v>
      </c>
      <c r="BR208" s="274">
        <v>42897.105000000003</v>
      </c>
      <c r="BS208" s="274">
        <v>43199.296999999999</v>
      </c>
    </row>
    <row r="209" spans="1:71" x14ac:dyDescent="0.4">
      <c r="A209" s="270">
        <v>190</v>
      </c>
      <c r="B209" s="271" t="s">
        <v>890</v>
      </c>
      <c r="C209" s="276" t="s">
        <v>944</v>
      </c>
      <c r="D209" s="273"/>
      <c r="E209" s="273">
        <v>660</v>
      </c>
      <c r="F209" s="274">
        <v>5.1210000000000004</v>
      </c>
      <c r="G209" s="274">
        <v>5.2969999999999997</v>
      </c>
      <c r="H209" s="274">
        <v>5.4379999999999997</v>
      </c>
      <c r="I209" s="274">
        <v>5.5490000000000004</v>
      </c>
      <c r="J209" s="274">
        <v>5.6349999999999998</v>
      </c>
      <c r="K209" s="274">
        <v>5.6970000000000001</v>
      </c>
      <c r="L209" s="274">
        <v>5.7430000000000003</v>
      </c>
      <c r="M209" s="274">
        <v>5.7770000000000001</v>
      </c>
      <c r="N209" s="274">
        <v>5.8049999999999997</v>
      </c>
      <c r="O209" s="274">
        <v>5.8310000000000004</v>
      </c>
      <c r="P209" s="274">
        <v>5.8630000000000004</v>
      </c>
      <c r="Q209" s="274">
        <v>5.9009999999999998</v>
      </c>
      <c r="R209" s="274">
        <v>5.9480000000000004</v>
      </c>
      <c r="S209" s="274">
        <v>6.0010000000000003</v>
      </c>
      <c r="T209" s="274">
        <v>6.0570000000000004</v>
      </c>
      <c r="U209" s="274">
        <v>6.1139999999999999</v>
      </c>
      <c r="V209" s="274">
        <v>6.1710000000000003</v>
      </c>
      <c r="W209" s="274">
        <v>6.2279999999999998</v>
      </c>
      <c r="X209" s="274">
        <v>6.2869999999999999</v>
      </c>
      <c r="Y209" s="274">
        <v>6.3440000000000003</v>
      </c>
      <c r="Z209" s="274">
        <v>6.4</v>
      </c>
      <c r="AA209" s="274">
        <v>6.4539999999999997</v>
      </c>
      <c r="AB209" s="274">
        <v>6.5060000000000002</v>
      </c>
      <c r="AC209" s="274">
        <v>6.5540000000000003</v>
      </c>
      <c r="AD209" s="274">
        <v>6.5960000000000001</v>
      </c>
      <c r="AE209" s="274">
        <v>6.63</v>
      </c>
      <c r="AF209" s="274">
        <v>6.6609999999999996</v>
      </c>
      <c r="AG209" s="274">
        <v>6.6909999999999998</v>
      </c>
      <c r="AH209" s="274">
        <v>6.7119999999999997</v>
      </c>
      <c r="AI209" s="274">
        <v>6.7149999999999999</v>
      </c>
      <c r="AJ209" s="274">
        <v>6.6980000000000004</v>
      </c>
      <c r="AK209" s="274">
        <v>6.6520000000000001</v>
      </c>
      <c r="AL209" s="274">
        <v>6.5869999999999997</v>
      </c>
      <c r="AM209" s="274">
        <v>6.5369999999999999</v>
      </c>
      <c r="AN209" s="274">
        <v>6.5510000000000002</v>
      </c>
      <c r="AO209" s="274">
        <v>6.6619999999999999</v>
      </c>
      <c r="AP209" s="274">
        <v>6.883</v>
      </c>
      <c r="AQ209" s="274">
        <v>7.1980000000000004</v>
      </c>
      <c r="AR209" s="274">
        <v>7.5759999999999996</v>
      </c>
      <c r="AS209" s="274">
        <v>7.9660000000000002</v>
      </c>
      <c r="AT209" s="274">
        <v>8.3339999999999996</v>
      </c>
      <c r="AU209" s="274">
        <v>8.6679999999999993</v>
      </c>
      <c r="AV209" s="274">
        <v>8.9789999999999992</v>
      </c>
      <c r="AW209" s="274">
        <v>9.266</v>
      </c>
      <c r="AX209" s="274">
        <v>9.5399999999999991</v>
      </c>
      <c r="AY209" s="274">
        <v>9.8070000000000004</v>
      </c>
      <c r="AZ209" s="274">
        <v>10.063000000000001</v>
      </c>
      <c r="BA209" s="274">
        <v>10.305</v>
      </c>
      <c r="BB209" s="274">
        <v>10.545</v>
      </c>
      <c r="BC209" s="274">
        <v>10.797000000000001</v>
      </c>
      <c r="BD209" s="274">
        <v>11.071</v>
      </c>
      <c r="BE209" s="274">
        <v>11.371</v>
      </c>
      <c r="BF209" s="274">
        <v>11.693</v>
      </c>
      <c r="BG209" s="274">
        <v>12.023</v>
      </c>
      <c r="BH209" s="274">
        <v>12.342000000000001</v>
      </c>
      <c r="BI209" s="274">
        <v>12.637</v>
      </c>
      <c r="BJ209" s="274">
        <v>12.903</v>
      </c>
      <c r="BK209" s="274">
        <v>13.145</v>
      </c>
      <c r="BL209" s="274">
        <v>13.365</v>
      </c>
      <c r="BM209" s="274">
        <v>13.571</v>
      </c>
      <c r="BN209" s="274">
        <v>13.768000000000001</v>
      </c>
      <c r="BO209" s="274">
        <v>13.956</v>
      </c>
      <c r="BP209" s="274">
        <v>14.132999999999999</v>
      </c>
      <c r="BQ209" s="274">
        <v>14.3</v>
      </c>
      <c r="BR209" s="274">
        <v>14.46</v>
      </c>
      <c r="BS209" s="274">
        <v>14.614000000000001</v>
      </c>
    </row>
    <row r="210" spans="1:71" x14ac:dyDescent="0.4">
      <c r="A210" s="270">
        <v>191</v>
      </c>
      <c r="B210" s="271" t="s">
        <v>890</v>
      </c>
      <c r="C210" s="276" t="s">
        <v>203</v>
      </c>
      <c r="D210" s="273"/>
      <c r="E210" s="273">
        <v>28</v>
      </c>
      <c r="F210" s="274">
        <v>46.301000000000002</v>
      </c>
      <c r="G210" s="274">
        <v>48.305999999999997</v>
      </c>
      <c r="H210" s="274">
        <v>49.887</v>
      </c>
      <c r="I210" s="274">
        <v>51.091999999999999</v>
      </c>
      <c r="J210" s="274">
        <v>51.978999999999999</v>
      </c>
      <c r="K210" s="274">
        <v>52.610999999999997</v>
      </c>
      <c r="L210" s="274">
        <v>53.061999999999998</v>
      </c>
      <c r="M210" s="274">
        <v>53.411000000000001</v>
      </c>
      <c r="N210" s="274">
        <v>53.744</v>
      </c>
      <c r="O210" s="274">
        <v>54.143000000000001</v>
      </c>
      <c r="P210" s="274">
        <v>54.680999999999997</v>
      </c>
      <c r="Q210" s="274">
        <v>55.402999999999999</v>
      </c>
      <c r="R210" s="274">
        <v>56.311</v>
      </c>
      <c r="S210" s="274">
        <v>57.368000000000002</v>
      </c>
      <c r="T210" s="274">
        <v>58.5</v>
      </c>
      <c r="U210" s="274">
        <v>59.652999999999999</v>
      </c>
      <c r="V210" s="274">
        <v>60.817999999999998</v>
      </c>
      <c r="W210" s="274">
        <v>62.002000000000002</v>
      </c>
      <c r="X210" s="274">
        <v>63.176000000000002</v>
      </c>
      <c r="Y210" s="274">
        <v>64.307000000000002</v>
      </c>
      <c r="Z210" s="274">
        <v>65.369</v>
      </c>
      <c r="AA210" s="274">
        <v>66.337999999999994</v>
      </c>
      <c r="AB210" s="274">
        <v>67.204999999999998</v>
      </c>
      <c r="AC210" s="274">
        <v>67.971999999999994</v>
      </c>
      <c r="AD210" s="274">
        <v>68.655000000000001</v>
      </c>
      <c r="AE210" s="274">
        <v>69.253</v>
      </c>
      <c r="AF210" s="274">
        <v>69.781999999999996</v>
      </c>
      <c r="AG210" s="274">
        <v>70.222999999999999</v>
      </c>
      <c r="AH210" s="274">
        <v>70.507999999999996</v>
      </c>
      <c r="AI210" s="274">
        <v>70.552999999999997</v>
      </c>
      <c r="AJ210" s="274">
        <v>70.301000000000002</v>
      </c>
      <c r="AK210" s="274">
        <v>69.75</v>
      </c>
      <c r="AL210" s="274">
        <v>68.95</v>
      </c>
      <c r="AM210" s="274">
        <v>67.957999999999998</v>
      </c>
      <c r="AN210" s="274">
        <v>66.863</v>
      </c>
      <c r="AO210" s="274">
        <v>65.744</v>
      </c>
      <c r="AP210" s="274">
        <v>64.605000000000004</v>
      </c>
      <c r="AQ210" s="274">
        <v>63.484000000000002</v>
      </c>
      <c r="AR210" s="274">
        <v>62.537999999999997</v>
      </c>
      <c r="AS210" s="274">
        <v>61.966999999999999</v>
      </c>
      <c r="AT210" s="274">
        <v>61.905999999999999</v>
      </c>
      <c r="AU210" s="274">
        <v>62.411999999999999</v>
      </c>
      <c r="AV210" s="274">
        <v>63.433999999999997</v>
      </c>
      <c r="AW210" s="274">
        <v>64.867999999999995</v>
      </c>
      <c r="AX210" s="274">
        <v>66.55</v>
      </c>
      <c r="AY210" s="274">
        <v>68.349000000000004</v>
      </c>
      <c r="AZ210" s="274">
        <v>70.245000000000005</v>
      </c>
      <c r="BA210" s="274">
        <v>72.231999999999999</v>
      </c>
      <c r="BB210" s="274">
        <v>74.206000000000003</v>
      </c>
      <c r="BC210" s="274">
        <v>76.040999999999997</v>
      </c>
      <c r="BD210" s="274">
        <v>77.647999999999996</v>
      </c>
      <c r="BE210" s="274">
        <v>78.971999999999994</v>
      </c>
      <c r="BF210" s="274">
        <v>80.03</v>
      </c>
      <c r="BG210" s="274">
        <v>80.903999999999996</v>
      </c>
      <c r="BH210" s="274">
        <v>81.718000000000004</v>
      </c>
      <c r="BI210" s="274">
        <v>82.564999999999998</v>
      </c>
      <c r="BJ210" s="274">
        <v>83.466999999999999</v>
      </c>
      <c r="BK210" s="274">
        <v>84.397000000000006</v>
      </c>
      <c r="BL210" s="274">
        <v>85.35</v>
      </c>
      <c r="BM210" s="274">
        <v>86.3</v>
      </c>
      <c r="BN210" s="274">
        <v>87.233000000000004</v>
      </c>
      <c r="BO210" s="274">
        <v>88.152000000000001</v>
      </c>
      <c r="BP210" s="274">
        <v>89.069000000000003</v>
      </c>
      <c r="BQ210" s="274">
        <v>89.984999999999999</v>
      </c>
      <c r="BR210" s="274">
        <v>90.9</v>
      </c>
      <c r="BS210" s="274">
        <v>91.817999999999998</v>
      </c>
    </row>
    <row r="211" spans="1:71" x14ac:dyDescent="0.4">
      <c r="A211" s="270">
        <v>192</v>
      </c>
      <c r="B211" s="271" t="s">
        <v>890</v>
      </c>
      <c r="C211" s="276" t="s">
        <v>945</v>
      </c>
      <c r="D211" s="273"/>
      <c r="E211" s="273">
        <v>533</v>
      </c>
      <c r="F211" s="274">
        <v>38.066000000000003</v>
      </c>
      <c r="G211" s="274">
        <v>38.262999999999998</v>
      </c>
      <c r="H211" s="274">
        <v>38.965000000000003</v>
      </c>
      <c r="I211" s="274">
        <v>40.149000000000001</v>
      </c>
      <c r="J211" s="274">
        <v>41.762999999999998</v>
      </c>
      <c r="K211" s="274">
        <v>43.726999999999997</v>
      </c>
      <c r="L211" s="274">
        <v>45.933</v>
      </c>
      <c r="M211" s="274">
        <v>48.241999999999997</v>
      </c>
      <c r="N211" s="274">
        <v>50.499000000000002</v>
      </c>
      <c r="O211" s="274">
        <v>52.534999999999997</v>
      </c>
      <c r="P211" s="274">
        <v>54.207999999999998</v>
      </c>
      <c r="Q211" s="274">
        <v>55.435000000000002</v>
      </c>
      <c r="R211" s="274">
        <v>56.225999999999999</v>
      </c>
      <c r="S211" s="274">
        <v>56.697000000000003</v>
      </c>
      <c r="T211" s="274">
        <v>57.029000000000003</v>
      </c>
      <c r="U211" s="274">
        <v>57.36</v>
      </c>
      <c r="V211" s="274">
        <v>57.712000000000003</v>
      </c>
      <c r="W211" s="274">
        <v>58.048999999999999</v>
      </c>
      <c r="X211" s="274">
        <v>58.384999999999998</v>
      </c>
      <c r="Y211" s="274">
        <v>58.723999999999997</v>
      </c>
      <c r="Z211" s="274">
        <v>59.064999999999998</v>
      </c>
      <c r="AA211" s="274">
        <v>59.438000000000002</v>
      </c>
      <c r="AB211" s="274">
        <v>59.848999999999997</v>
      </c>
      <c r="AC211" s="274">
        <v>60.238999999999997</v>
      </c>
      <c r="AD211" s="274">
        <v>60.524999999999999</v>
      </c>
      <c r="AE211" s="274">
        <v>60.655000000000001</v>
      </c>
      <c r="AF211" s="274">
        <v>60.588999999999999</v>
      </c>
      <c r="AG211" s="274">
        <v>60.366</v>
      </c>
      <c r="AH211" s="274">
        <v>60.106000000000002</v>
      </c>
      <c r="AI211" s="274">
        <v>59.978000000000002</v>
      </c>
      <c r="AJ211" s="274">
        <v>60.095999999999997</v>
      </c>
      <c r="AK211" s="274">
        <v>60.567</v>
      </c>
      <c r="AL211" s="274">
        <v>61.344000000000001</v>
      </c>
      <c r="AM211" s="274">
        <v>62.204000000000001</v>
      </c>
      <c r="AN211" s="274">
        <v>62.831000000000003</v>
      </c>
      <c r="AO211" s="274">
        <v>63.027999999999999</v>
      </c>
      <c r="AP211" s="274">
        <v>62.643999999999998</v>
      </c>
      <c r="AQ211" s="274">
        <v>61.835000000000001</v>
      </c>
      <c r="AR211" s="274">
        <v>61.076999999999998</v>
      </c>
      <c r="AS211" s="274">
        <v>61.031999999999996</v>
      </c>
      <c r="AT211" s="274">
        <v>62.148000000000003</v>
      </c>
      <c r="AU211" s="274">
        <v>64.623000000000005</v>
      </c>
      <c r="AV211" s="274">
        <v>68.234999999999999</v>
      </c>
      <c r="AW211" s="274">
        <v>72.498000000000005</v>
      </c>
      <c r="AX211" s="274">
        <v>76.7</v>
      </c>
      <c r="AY211" s="274">
        <v>80.325999999999993</v>
      </c>
      <c r="AZ211" s="274">
        <v>83.194999999999993</v>
      </c>
      <c r="BA211" s="274">
        <v>85.447000000000003</v>
      </c>
      <c r="BB211" s="274">
        <v>87.275999999999996</v>
      </c>
      <c r="BC211" s="274">
        <v>89.004000000000005</v>
      </c>
      <c r="BD211" s="274">
        <v>90.858000000000004</v>
      </c>
      <c r="BE211" s="274">
        <v>92.894000000000005</v>
      </c>
      <c r="BF211" s="274">
        <v>94.995000000000005</v>
      </c>
      <c r="BG211" s="274">
        <v>97.015000000000001</v>
      </c>
      <c r="BH211" s="274">
        <v>98.742000000000004</v>
      </c>
      <c r="BI211" s="274">
        <v>100.03100000000001</v>
      </c>
      <c r="BJ211" s="274">
        <v>100.83</v>
      </c>
      <c r="BK211" s="274">
        <v>101.218</v>
      </c>
      <c r="BL211" s="274">
        <v>101.342</v>
      </c>
      <c r="BM211" s="274">
        <v>101.416</v>
      </c>
      <c r="BN211" s="274">
        <v>101.59699999999999</v>
      </c>
      <c r="BO211" s="274">
        <v>101.93600000000001</v>
      </c>
      <c r="BP211" s="274">
        <v>102.393</v>
      </c>
      <c r="BQ211" s="274">
        <v>102.92100000000001</v>
      </c>
      <c r="BR211" s="274">
        <v>103.441</v>
      </c>
      <c r="BS211" s="274">
        <v>103.889</v>
      </c>
    </row>
    <row r="212" spans="1:71" x14ac:dyDescent="0.4">
      <c r="A212" s="270">
        <v>193</v>
      </c>
      <c r="B212" s="271" t="s">
        <v>890</v>
      </c>
      <c r="C212" s="276" t="s">
        <v>225</v>
      </c>
      <c r="D212" s="273"/>
      <c r="E212" s="273">
        <v>44</v>
      </c>
      <c r="F212" s="274">
        <v>79.087999999999994</v>
      </c>
      <c r="G212" s="274">
        <v>79.983999999999995</v>
      </c>
      <c r="H212" s="274">
        <v>81.427999999999997</v>
      </c>
      <c r="I212" s="274">
        <v>83.370999999999995</v>
      </c>
      <c r="J212" s="274">
        <v>85.775999999999996</v>
      </c>
      <c r="K212" s="274">
        <v>88.619</v>
      </c>
      <c r="L212" s="274">
        <v>91.893000000000001</v>
      </c>
      <c r="M212" s="274">
        <v>95.603999999999999</v>
      </c>
      <c r="N212" s="274">
        <v>99.766999999999996</v>
      </c>
      <c r="O212" s="274">
        <v>104.40600000000001</v>
      </c>
      <c r="P212" s="274">
        <v>109.526</v>
      </c>
      <c r="Q212" s="274">
        <v>115.108</v>
      </c>
      <c r="R212" s="274">
        <v>121.083</v>
      </c>
      <c r="S212" s="274">
        <v>127.331</v>
      </c>
      <c r="T212" s="274">
        <v>133.697</v>
      </c>
      <c r="U212" s="274">
        <v>140.04900000000001</v>
      </c>
      <c r="V212" s="274">
        <v>146.364</v>
      </c>
      <c r="W212" s="274">
        <v>152.607</v>
      </c>
      <c r="X212" s="274">
        <v>158.62899999999999</v>
      </c>
      <c r="Y212" s="274">
        <v>164.25</v>
      </c>
      <c r="Z212" s="274">
        <v>169.35599999999999</v>
      </c>
      <c r="AA212" s="274">
        <v>173.86699999999999</v>
      </c>
      <c r="AB212" s="274">
        <v>177.84399999999999</v>
      </c>
      <c r="AC212" s="274">
        <v>181.489</v>
      </c>
      <c r="AD212" s="274">
        <v>185.09700000000001</v>
      </c>
      <c r="AE212" s="274">
        <v>188.88200000000001</v>
      </c>
      <c r="AF212" s="274">
        <v>192.905</v>
      </c>
      <c r="AG212" s="274">
        <v>197.11799999999999</v>
      </c>
      <c r="AH212" s="274">
        <v>201.511</v>
      </c>
      <c r="AI212" s="274">
        <v>206.03800000000001</v>
      </c>
      <c r="AJ212" s="274">
        <v>210.66</v>
      </c>
      <c r="AK212" s="274">
        <v>215.404</v>
      </c>
      <c r="AL212" s="274">
        <v>220.27500000000001</v>
      </c>
      <c r="AM212" s="274">
        <v>225.185</v>
      </c>
      <c r="AN212" s="274">
        <v>230.01599999999999</v>
      </c>
      <c r="AO212" s="274">
        <v>234.684</v>
      </c>
      <c r="AP212" s="274">
        <v>239.13200000000001</v>
      </c>
      <c r="AQ212" s="274">
        <v>243.39099999999999</v>
      </c>
      <c r="AR212" s="274">
        <v>247.57599999999999</v>
      </c>
      <c r="AS212" s="274">
        <v>251.85499999999999</v>
      </c>
      <c r="AT212" s="274">
        <v>256.33800000000002</v>
      </c>
      <c r="AU212" s="274">
        <v>261.11700000000002</v>
      </c>
      <c r="AV212" s="274">
        <v>266.13299999999998</v>
      </c>
      <c r="AW212" s="274">
        <v>271.16500000000002</v>
      </c>
      <c r="AX212" s="274">
        <v>275.90300000000002</v>
      </c>
      <c r="AY212" s="274">
        <v>280.15100000000001</v>
      </c>
      <c r="AZ212" s="274">
        <v>283.79199999999997</v>
      </c>
      <c r="BA212" s="274">
        <v>286.96800000000002</v>
      </c>
      <c r="BB212" s="274">
        <v>290.05399999999997</v>
      </c>
      <c r="BC212" s="274">
        <v>293.572</v>
      </c>
      <c r="BD212" s="274">
        <v>297.89100000000002</v>
      </c>
      <c r="BE212" s="274">
        <v>303.13799999999998</v>
      </c>
      <c r="BF212" s="274">
        <v>309.17</v>
      </c>
      <c r="BG212" s="274">
        <v>315.75700000000001</v>
      </c>
      <c r="BH212" s="274">
        <v>322.53899999999999</v>
      </c>
      <c r="BI212" s="274">
        <v>329.24299999999999</v>
      </c>
      <c r="BJ212" s="274">
        <v>335.80099999999999</v>
      </c>
      <c r="BK212" s="274">
        <v>342.25900000000001</v>
      </c>
      <c r="BL212" s="274">
        <v>348.58699999999999</v>
      </c>
      <c r="BM212" s="274">
        <v>354.78</v>
      </c>
      <c r="BN212" s="274">
        <v>360.83</v>
      </c>
      <c r="BO212" s="274">
        <v>366.71100000000001</v>
      </c>
      <c r="BP212" s="274">
        <v>372.38799999999998</v>
      </c>
      <c r="BQ212" s="274">
        <v>377.84100000000001</v>
      </c>
      <c r="BR212" s="274">
        <v>383.05399999999997</v>
      </c>
      <c r="BS212" s="274">
        <v>388.01900000000001</v>
      </c>
    </row>
    <row r="213" spans="1:71" x14ac:dyDescent="0.4">
      <c r="A213" s="270">
        <v>194</v>
      </c>
      <c r="B213" s="271" t="s">
        <v>890</v>
      </c>
      <c r="C213" s="276" t="s">
        <v>237</v>
      </c>
      <c r="D213" s="273"/>
      <c r="E213" s="273">
        <v>52</v>
      </c>
      <c r="F213" s="274">
        <v>210.995</v>
      </c>
      <c r="G213" s="274">
        <v>215.70400000000001</v>
      </c>
      <c r="H213" s="274">
        <v>219.636</v>
      </c>
      <c r="I213" s="274">
        <v>222.80799999999999</v>
      </c>
      <c r="J213" s="274">
        <v>225.26300000000001</v>
      </c>
      <c r="K213" s="274">
        <v>227.07599999999999</v>
      </c>
      <c r="L213" s="274">
        <v>228.34899999999999</v>
      </c>
      <c r="M213" s="274">
        <v>229.214</v>
      </c>
      <c r="N213" s="274">
        <v>229.82599999999999</v>
      </c>
      <c r="O213" s="274">
        <v>230.35</v>
      </c>
      <c r="P213" s="274">
        <v>230.934</v>
      </c>
      <c r="Q213" s="274">
        <v>231.67400000000001</v>
      </c>
      <c r="R213" s="274">
        <v>232.584</v>
      </c>
      <c r="S213" s="274">
        <v>233.58699999999999</v>
      </c>
      <c r="T213" s="274">
        <v>234.547</v>
      </c>
      <c r="U213" s="274">
        <v>235.37299999999999</v>
      </c>
      <c r="V213" s="274">
        <v>236.04300000000001</v>
      </c>
      <c r="W213" s="274">
        <v>236.62</v>
      </c>
      <c r="X213" s="274">
        <v>237.19900000000001</v>
      </c>
      <c r="Y213" s="274">
        <v>237.911</v>
      </c>
      <c r="Z213" s="274">
        <v>238.84700000000001</v>
      </c>
      <c r="AA213" s="274">
        <v>240.03800000000001</v>
      </c>
      <c r="AB213" s="274">
        <v>241.441</v>
      </c>
      <c r="AC213" s="274">
        <v>242.98</v>
      </c>
      <c r="AD213" s="274">
        <v>244.53899999999999</v>
      </c>
      <c r="AE213" s="274">
        <v>246.03299999999999</v>
      </c>
      <c r="AF213" s="274">
        <v>247.44399999999999</v>
      </c>
      <c r="AG213" s="274">
        <v>248.785</v>
      </c>
      <c r="AH213" s="274">
        <v>250.035</v>
      </c>
      <c r="AI213" s="274">
        <v>251.17599999999999</v>
      </c>
      <c r="AJ213" s="274">
        <v>252.197</v>
      </c>
      <c r="AK213" s="274">
        <v>253.08</v>
      </c>
      <c r="AL213" s="274">
        <v>253.83600000000001</v>
      </c>
      <c r="AM213" s="274">
        <v>254.51499999999999</v>
      </c>
      <c r="AN213" s="274">
        <v>255.19499999999999</v>
      </c>
      <c r="AO213" s="274">
        <v>255.929</v>
      </c>
      <c r="AP213" s="274">
        <v>256.738</v>
      </c>
      <c r="AQ213" s="274">
        <v>257.60899999999998</v>
      </c>
      <c r="AR213" s="274">
        <v>258.524</v>
      </c>
      <c r="AS213" s="274">
        <v>259.45400000000001</v>
      </c>
      <c r="AT213" s="274">
        <v>260.37400000000002</v>
      </c>
      <c r="AU213" s="274">
        <v>261.28100000000001</v>
      </c>
      <c r="AV213" s="274">
        <v>262.18400000000003</v>
      </c>
      <c r="AW213" s="274">
        <v>263.09100000000001</v>
      </c>
      <c r="AX213" s="274">
        <v>264.01499999999999</v>
      </c>
      <c r="AY213" s="274">
        <v>264.96199999999999</v>
      </c>
      <c r="AZ213" s="274">
        <v>265.94</v>
      </c>
      <c r="BA213" s="274">
        <v>266.94400000000002</v>
      </c>
      <c r="BB213" s="274">
        <v>267.94900000000001</v>
      </c>
      <c r="BC213" s="274">
        <v>268.92</v>
      </c>
      <c r="BD213" s="274">
        <v>269.83800000000002</v>
      </c>
      <c r="BE213" s="274">
        <v>270.68599999999998</v>
      </c>
      <c r="BF213" s="274">
        <v>271.47899999999998</v>
      </c>
      <c r="BG213" s="274">
        <v>272.26100000000002</v>
      </c>
      <c r="BH213" s="274">
        <v>273.09100000000001</v>
      </c>
      <c r="BI213" s="274">
        <v>274.01299999999998</v>
      </c>
      <c r="BJ213" s="274">
        <v>275.04000000000002</v>
      </c>
      <c r="BK213" s="274">
        <v>276.154</v>
      </c>
      <c r="BL213" s="274">
        <v>277.315</v>
      </c>
      <c r="BM213" s="274">
        <v>278.46600000000001</v>
      </c>
      <c r="BN213" s="274">
        <v>279.56599999999997</v>
      </c>
      <c r="BO213" s="274">
        <v>280.60199999999998</v>
      </c>
      <c r="BP213" s="274">
        <v>281.58</v>
      </c>
      <c r="BQ213" s="274">
        <v>282.50299999999999</v>
      </c>
      <c r="BR213" s="274">
        <v>283.38</v>
      </c>
      <c r="BS213" s="274">
        <v>284.21499999999997</v>
      </c>
    </row>
    <row r="214" spans="1:71" x14ac:dyDescent="0.4">
      <c r="A214" s="270">
        <v>195</v>
      </c>
      <c r="B214" s="271" t="s">
        <v>890</v>
      </c>
      <c r="C214" s="276" t="s">
        <v>946</v>
      </c>
      <c r="D214" s="273"/>
      <c r="E214" s="273">
        <v>92</v>
      </c>
      <c r="F214" s="274">
        <v>7.4409999999999998</v>
      </c>
      <c r="G214" s="274">
        <v>7.5090000000000003</v>
      </c>
      <c r="H214" s="274">
        <v>7.5609999999999999</v>
      </c>
      <c r="I214" s="274">
        <v>7.6050000000000004</v>
      </c>
      <c r="J214" s="274">
        <v>7.6449999999999996</v>
      </c>
      <c r="K214" s="274">
        <v>7.6849999999999996</v>
      </c>
      <c r="L214" s="274">
        <v>7.73</v>
      </c>
      <c r="M214" s="274">
        <v>7.7850000000000001</v>
      </c>
      <c r="N214" s="274">
        <v>7.8520000000000003</v>
      </c>
      <c r="O214" s="274">
        <v>7.9349999999999996</v>
      </c>
      <c r="P214" s="274">
        <v>8.0359999999999996</v>
      </c>
      <c r="Q214" s="274">
        <v>8.157</v>
      </c>
      <c r="R214" s="274">
        <v>8.298</v>
      </c>
      <c r="S214" s="274">
        <v>8.4550000000000001</v>
      </c>
      <c r="T214" s="274">
        <v>8.6280000000000001</v>
      </c>
      <c r="U214" s="274">
        <v>8.8130000000000006</v>
      </c>
      <c r="V214" s="274">
        <v>9.0090000000000003</v>
      </c>
      <c r="W214" s="274">
        <v>9.2140000000000004</v>
      </c>
      <c r="X214" s="274">
        <v>9.4220000000000006</v>
      </c>
      <c r="Y214" s="274">
        <v>9.6199999999999992</v>
      </c>
      <c r="Z214" s="274">
        <v>9.8019999999999996</v>
      </c>
      <c r="AA214" s="274">
        <v>9.9689999999999994</v>
      </c>
      <c r="AB214" s="274">
        <v>10.125</v>
      </c>
      <c r="AC214" s="274">
        <v>10.263</v>
      </c>
      <c r="AD214" s="274">
        <v>10.38</v>
      </c>
      <c r="AE214" s="274">
        <v>10.476000000000001</v>
      </c>
      <c r="AF214" s="274">
        <v>10.544</v>
      </c>
      <c r="AG214" s="274">
        <v>10.596</v>
      </c>
      <c r="AH214" s="274">
        <v>10.663</v>
      </c>
      <c r="AI214" s="274">
        <v>10.788</v>
      </c>
      <c r="AJ214" s="274">
        <v>11.003</v>
      </c>
      <c r="AK214" s="274">
        <v>11.316000000000001</v>
      </c>
      <c r="AL214" s="274">
        <v>11.715</v>
      </c>
      <c r="AM214" s="274">
        <v>12.192</v>
      </c>
      <c r="AN214" s="274">
        <v>12.728999999999999</v>
      </c>
      <c r="AO214" s="274">
        <v>13.308</v>
      </c>
      <c r="AP214" s="274">
        <v>13.932</v>
      </c>
      <c r="AQ214" s="274">
        <v>14.595000000000001</v>
      </c>
      <c r="AR214" s="274">
        <v>15.265000000000001</v>
      </c>
      <c r="AS214" s="274">
        <v>15.896000000000001</v>
      </c>
      <c r="AT214" s="274">
        <v>16.459</v>
      </c>
      <c r="AU214" s="274">
        <v>16.937000000000001</v>
      </c>
      <c r="AV214" s="274">
        <v>17.343</v>
      </c>
      <c r="AW214" s="274">
        <v>17.7</v>
      </c>
      <c r="AX214" s="274">
        <v>18.050999999999998</v>
      </c>
      <c r="AY214" s="274">
        <v>18.425000000000001</v>
      </c>
      <c r="AZ214" s="274">
        <v>18.834</v>
      </c>
      <c r="BA214" s="274">
        <v>19.27</v>
      </c>
      <c r="BB214" s="274">
        <v>19.725999999999999</v>
      </c>
      <c r="BC214" s="274">
        <v>20.186</v>
      </c>
      <c r="BD214" s="274">
        <v>20.643000000000001</v>
      </c>
      <c r="BE214" s="274">
        <v>21.087</v>
      </c>
      <c r="BF214" s="274">
        <v>21.53</v>
      </c>
      <c r="BG214" s="274">
        <v>22</v>
      </c>
      <c r="BH214" s="274">
        <v>22.538</v>
      </c>
      <c r="BI214" s="274">
        <v>23.169</v>
      </c>
      <c r="BJ214" s="274">
        <v>23.908000000000001</v>
      </c>
      <c r="BK214" s="274">
        <v>24.734999999999999</v>
      </c>
      <c r="BL214" s="274">
        <v>25.603999999999999</v>
      </c>
      <c r="BM214" s="274">
        <v>26.45</v>
      </c>
      <c r="BN214" s="274">
        <v>27.222999999999999</v>
      </c>
      <c r="BO214" s="274">
        <v>27.905999999999999</v>
      </c>
      <c r="BP214" s="274">
        <v>28.510999999999999</v>
      </c>
      <c r="BQ214" s="274">
        <v>29.058</v>
      </c>
      <c r="BR214" s="274">
        <v>29.585000000000001</v>
      </c>
      <c r="BS214" s="274">
        <v>30.117000000000001</v>
      </c>
    </row>
    <row r="215" spans="1:71" x14ac:dyDescent="0.4">
      <c r="A215" s="270">
        <v>196</v>
      </c>
      <c r="B215" s="271" t="s">
        <v>890</v>
      </c>
      <c r="C215" s="276" t="s">
        <v>947</v>
      </c>
      <c r="D215" s="273">
        <v>22</v>
      </c>
      <c r="E215" s="273">
        <v>535</v>
      </c>
      <c r="F215" s="274">
        <v>7.1230000000000002</v>
      </c>
      <c r="G215" s="274">
        <v>7.2949999999999999</v>
      </c>
      <c r="H215" s="274">
        <v>7.4279999999999999</v>
      </c>
      <c r="I215" s="274">
        <v>7.5289999999999999</v>
      </c>
      <c r="J215" s="274">
        <v>7.6070000000000002</v>
      </c>
      <c r="K215" s="274">
        <v>7.6689999999999996</v>
      </c>
      <c r="L215" s="274">
        <v>7.7249999999999996</v>
      </c>
      <c r="M215" s="274">
        <v>7.7839999999999998</v>
      </c>
      <c r="N215" s="274">
        <v>7.8570000000000002</v>
      </c>
      <c r="O215" s="274">
        <v>7.952</v>
      </c>
      <c r="P215" s="274">
        <v>8.0760000000000005</v>
      </c>
      <c r="Q215" s="274">
        <v>8.2349999999999994</v>
      </c>
      <c r="R215" s="274">
        <v>8.4269999999999996</v>
      </c>
      <c r="S215" s="274">
        <v>8.6460000000000008</v>
      </c>
      <c r="T215" s="274">
        <v>8.8829999999999991</v>
      </c>
      <c r="U215" s="274">
        <v>9.1300000000000008</v>
      </c>
      <c r="V215" s="274">
        <v>9.3840000000000003</v>
      </c>
      <c r="W215" s="274">
        <v>9.6449999999999996</v>
      </c>
      <c r="X215" s="274">
        <v>9.9019999999999992</v>
      </c>
      <c r="Y215" s="274">
        <v>10.143000000000001</v>
      </c>
      <c r="Z215" s="274">
        <v>10.359</v>
      </c>
      <c r="AA215" s="274">
        <v>10.548</v>
      </c>
      <c r="AB215" s="274">
        <v>10.71</v>
      </c>
      <c r="AC215" s="274">
        <v>10.845000000000001</v>
      </c>
      <c r="AD215" s="274">
        <v>10.95</v>
      </c>
      <c r="AE215" s="274">
        <v>11.026999999999999</v>
      </c>
      <c r="AF215" s="274">
        <v>11.073</v>
      </c>
      <c r="AG215" s="274">
        <v>11.093</v>
      </c>
      <c r="AH215" s="274">
        <v>11.106</v>
      </c>
      <c r="AI215" s="274">
        <v>11.135999999999999</v>
      </c>
      <c r="AJ215" s="274">
        <v>11.202999999999999</v>
      </c>
      <c r="AK215" s="274">
        <v>11.317</v>
      </c>
      <c r="AL215" s="274">
        <v>11.472</v>
      </c>
      <c r="AM215" s="274">
        <v>11.656000000000001</v>
      </c>
      <c r="AN215" s="274">
        <v>11.846</v>
      </c>
      <c r="AO215" s="274">
        <v>12.026999999999999</v>
      </c>
      <c r="AP215" s="274">
        <v>12.183999999999999</v>
      </c>
      <c r="AQ215" s="274">
        <v>12.327</v>
      </c>
      <c r="AR215" s="274">
        <v>12.484999999999999</v>
      </c>
      <c r="AS215" s="274">
        <v>12.705</v>
      </c>
      <c r="AT215" s="274">
        <v>13.013999999999999</v>
      </c>
      <c r="AU215" s="274">
        <v>13.432</v>
      </c>
      <c r="AV215" s="274">
        <v>13.935</v>
      </c>
      <c r="AW215" s="274">
        <v>14.446</v>
      </c>
      <c r="AX215" s="274">
        <v>14.861000000000001</v>
      </c>
      <c r="AY215" s="274">
        <v>15.106</v>
      </c>
      <c r="AZ215" s="274">
        <v>15.167999999999999</v>
      </c>
      <c r="BA215" s="274">
        <v>15.08</v>
      </c>
      <c r="BB215" s="274">
        <v>14.882999999999999</v>
      </c>
      <c r="BC215" s="274">
        <v>14.634</v>
      </c>
      <c r="BD215" s="274">
        <v>14.39</v>
      </c>
      <c r="BE215" s="274">
        <v>14.135</v>
      </c>
      <c r="BF215" s="274">
        <v>13.884</v>
      </c>
      <c r="BG215" s="274">
        <v>13.753</v>
      </c>
      <c r="BH215" s="274">
        <v>13.894</v>
      </c>
      <c r="BI215" s="274">
        <v>14.401999999999999</v>
      </c>
      <c r="BJ215" s="274">
        <v>15.331</v>
      </c>
      <c r="BK215" s="274">
        <v>16.623999999999999</v>
      </c>
      <c r="BL215" s="274">
        <v>18.128</v>
      </c>
      <c r="BM215" s="274">
        <v>19.620999999999999</v>
      </c>
      <c r="BN215" s="274">
        <v>20.942</v>
      </c>
      <c r="BO215" s="274">
        <v>22.04</v>
      </c>
      <c r="BP215" s="274">
        <v>22.946999999999999</v>
      </c>
      <c r="BQ215" s="274">
        <v>23.687999999999999</v>
      </c>
      <c r="BR215" s="274">
        <v>24.312999999999999</v>
      </c>
      <c r="BS215" s="274">
        <v>24.861000000000001</v>
      </c>
    </row>
    <row r="216" spans="1:71" x14ac:dyDescent="0.4">
      <c r="A216" s="270">
        <v>197</v>
      </c>
      <c r="B216" s="271" t="s">
        <v>890</v>
      </c>
      <c r="C216" s="276" t="s">
        <v>948</v>
      </c>
      <c r="D216" s="273"/>
      <c r="E216" s="273">
        <v>136</v>
      </c>
      <c r="F216" s="274">
        <v>6.4130000000000003</v>
      </c>
      <c r="G216" s="274">
        <v>6.2690000000000001</v>
      </c>
      <c r="H216" s="274">
        <v>6.2450000000000001</v>
      </c>
      <c r="I216" s="274">
        <v>6.319</v>
      </c>
      <c r="J216" s="274">
        <v>6.47</v>
      </c>
      <c r="K216" s="274">
        <v>6.6760000000000002</v>
      </c>
      <c r="L216" s="274">
        <v>6.9180000000000001</v>
      </c>
      <c r="M216" s="274">
        <v>7.1779999999999999</v>
      </c>
      <c r="N216" s="274">
        <v>7.4320000000000004</v>
      </c>
      <c r="O216" s="274">
        <v>7.6669999999999998</v>
      </c>
      <c r="P216" s="274">
        <v>7.867</v>
      </c>
      <c r="Q216" s="274">
        <v>8.0259999999999998</v>
      </c>
      <c r="R216" s="274">
        <v>8.1419999999999995</v>
      </c>
      <c r="S216" s="274">
        <v>8.2279999999999998</v>
      </c>
      <c r="T216" s="274">
        <v>8.2989999999999995</v>
      </c>
      <c r="U216" s="274">
        <v>8.3710000000000004</v>
      </c>
      <c r="V216" s="274">
        <v>8.4420000000000002</v>
      </c>
      <c r="W216" s="274">
        <v>8.5180000000000007</v>
      </c>
      <c r="X216" s="274">
        <v>8.6319999999999997</v>
      </c>
      <c r="Y216" s="274">
        <v>8.8309999999999995</v>
      </c>
      <c r="Z216" s="274">
        <v>9.1440000000000001</v>
      </c>
      <c r="AA216" s="274">
        <v>9.5830000000000002</v>
      </c>
      <c r="AB216" s="274">
        <v>10.137</v>
      </c>
      <c r="AC216" s="274">
        <v>10.785</v>
      </c>
      <c r="AD216" s="274">
        <v>11.494</v>
      </c>
      <c r="AE216" s="274">
        <v>12.238</v>
      </c>
      <c r="AF216" s="274">
        <v>13.02</v>
      </c>
      <c r="AG216" s="274">
        <v>13.84</v>
      </c>
      <c r="AH216" s="274">
        <v>14.663</v>
      </c>
      <c r="AI216" s="274">
        <v>15.446999999999999</v>
      </c>
      <c r="AJ216" s="274">
        <v>16.164000000000001</v>
      </c>
      <c r="AK216" s="274">
        <v>16.795000000000002</v>
      </c>
      <c r="AL216" s="274">
        <v>17.356999999999999</v>
      </c>
      <c r="AM216" s="274">
        <v>17.911000000000001</v>
      </c>
      <c r="AN216" s="274">
        <v>18.542999999999999</v>
      </c>
      <c r="AO216" s="274">
        <v>19.315000000000001</v>
      </c>
      <c r="AP216" s="274">
        <v>20.254000000000001</v>
      </c>
      <c r="AQ216" s="274">
        <v>21.343</v>
      </c>
      <c r="AR216" s="274">
        <v>22.539000000000001</v>
      </c>
      <c r="AS216" s="274">
        <v>23.776</v>
      </c>
      <c r="AT216" s="274">
        <v>25.009</v>
      </c>
      <c r="AU216" s="274">
        <v>26.210999999999999</v>
      </c>
      <c r="AV216" s="274">
        <v>27.402000000000001</v>
      </c>
      <c r="AW216" s="274">
        <v>28.652000000000001</v>
      </c>
      <c r="AX216" s="274">
        <v>30.055</v>
      </c>
      <c r="AY216" s="274">
        <v>31.672000000000001</v>
      </c>
      <c r="AZ216" s="274">
        <v>33.534999999999997</v>
      </c>
      <c r="BA216" s="274">
        <v>35.595999999999997</v>
      </c>
      <c r="BB216" s="274">
        <v>37.741999999999997</v>
      </c>
      <c r="BC216" s="274">
        <v>39.81</v>
      </c>
      <c r="BD216" s="274">
        <v>41.685000000000002</v>
      </c>
      <c r="BE216" s="274">
        <v>43.317</v>
      </c>
      <c r="BF216" s="274">
        <v>44.741999999999997</v>
      </c>
      <c r="BG216" s="274">
        <v>46.031999999999996</v>
      </c>
      <c r="BH216" s="274">
        <v>47.298999999999999</v>
      </c>
      <c r="BI216" s="274">
        <v>48.622999999999998</v>
      </c>
      <c r="BJ216" s="274">
        <v>50.027999999999999</v>
      </c>
      <c r="BK216" s="274">
        <v>51.48</v>
      </c>
      <c r="BL216" s="274">
        <v>52.924999999999997</v>
      </c>
      <c r="BM216" s="274">
        <v>54.284999999999997</v>
      </c>
      <c r="BN216" s="274">
        <v>55.509</v>
      </c>
      <c r="BO216" s="274">
        <v>56.58</v>
      </c>
      <c r="BP216" s="274">
        <v>57.521999999999998</v>
      </c>
      <c r="BQ216" s="274">
        <v>58.369</v>
      </c>
      <c r="BR216" s="274">
        <v>59.171999999999997</v>
      </c>
      <c r="BS216" s="274">
        <v>59.966999999999999</v>
      </c>
    </row>
    <row r="217" spans="1:71" x14ac:dyDescent="0.4">
      <c r="A217" s="270">
        <v>198</v>
      </c>
      <c r="B217" s="271" t="s">
        <v>890</v>
      </c>
      <c r="C217" s="276" t="s">
        <v>340</v>
      </c>
      <c r="D217" s="273"/>
      <c r="E217" s="273">
        <v>192</v>
      </c>
      <c r="F217" s="274">
        <v>5919.9970000000003</v>
      </c>
      <c r="G217" s="274">
        <v>6051.29</v>
      </c>
      <c r="H217" s="274">
        <v>6180.0309999999999</v>
      </c>
      <c r="I217" s="274">
        <v>6304.5240000000003</v>
      </c>
      <c r="J217" s="274">
        <v>6424.1729999999998</v>
      </c>
      <c r="K217" s="274">
        <v>6539.47</v>
      </c>
      <c r="L217" s="274">
        <v>6652.0860000000002</v>
      </c>
      <c r="M217" s="274">
        <v>6764.7870000000003</v>
      </c>
      <c r="N217" s="274">
        <v>6881.2089999999998</v>
      </c>
      <c r="O217" s="274">
        <v>7005.4859999999999</v>
      </c>
      <c r="P217" s="274">
        <v>7141.1289999999999</v>
      </c>
      <c r="Q217" s="274">
        <v>7289.8280000000004</v>
      </c>
      <c r="R217" s="274">
        <v>7450.4040000000005</v>
      </c>
      <c r="S217" s="274">
        <v>7618.3590000000004</v>
      </c>
      <c r="T217" s="274">
        <v>7787.1490000000003</v>
      </c>
      <c r="U217" s="274">
        <v>7951.9279999999999</v>
      </c>
      <c r="V217" s="274">
        <v>8110.4279999999999</v>
      </c>
      <c r="W217" s="274">
        <v>8263.5470000000005</v>
      </c>
      <c r="X217" s="274">
        <v>8413.3289999999997</v>
      </c>
      <c r="Y217" s="274">
        <v>8563.1910000000007</v>
      </c>
      <c r="Z217" s="274">
        <v>8715.1229999999996</v>
      </c>
      <c r="AA217" s="274">
        <v>8869.9609999999993</v>
      </c>
      <c r="AB217" s="274">
        <v>9025.2990000000009</v>
      </c>
      <c r="AC217" s="274">
        <v>9176.0509999999995</v>
      </c>
      <c r="AD217" s="274">
        <v>9315.3709999999992</v>
      </c>
      <c r="AE217" s="274">
        <v>9438.4449999999997</v>
      </c>
      <c r="AF217" s="274">
        <v>9544.268</v>
      </c>
      <c r="AG217" s="274">
        <v>9634.6769999999997</v>
      </c>
      <c r="AH217" s="274">
        <v>9711.393</v>
      </c>
      <c r="AI217" s="274">
        <v>9777.2870000000003</v>
      </c>
      <c r="AJ217" s="274">
        <v>9835.1769999999997</v>
      </c>
      <c r="AK217" s="274">
        <v>9884.2189999999991</v>
      </c>
      <c r="AL217" s="274">
        <v>9925.6180000000004</v>
      </c>
      <c r="AM217" s="274">
        <v>9966.7330000000002</v>
      </c>
      <c r="AN217" s="274">
        <v>10017.061</v>
      </c>
      <c r="AO217" s="274">
        <v>10082.99</v>
      </c>
      <c r="AP217" s="274">
        <v>10167.998</v>
      </c>
      <c r="AQ217" s="274">
        <v>10269.276</v>
      </c>
      <c r="AR217" s="274">
        <v>10379.08</v>
      </c>
      <c r="AS217" s="274">
        <v>10486.11</v>
      </c>
      <c r="AT217" s="274">
        <v>10582.082</v>
      </c>
      <c r="AU217" s="274">
        <v>10664.576999999999</v>
      </c>
      <c r="AV217" s="274">
        <v>10735.775</v>
      </c>
      <c r="AW217" s="274">
        <v>10797.556</v>
      </c>
      <c r="AX217" s="274">
        <v>10853.434999999999</v>
      </c>
      <c r="AY217" s="274">
        <v>10906.048000000001</v>
      </c>
      <c r="AZ217" s="274">
        <v>10955.371999999999</v>
      </c>
      <c r="BA217" s="274">
        <v>11000.431</v>
      </c>
      <c r="BB217" s="274">
        <v>11041.893</v>
      </c>
      <c r="BC217" s="274">
        <v>11080.505999999999</v>
      </c>
      <c r="BD217" s="274">
        <v>11116.787</v>
      </c>
      <c r="BE217" s="274">
        <v>11151.472</v>
      </c>
      <c r="BF217" s="274">
        <v>11184.54</v>
      </c>
      <c r="BG217" s="274">
        <v>11214.837</v>
      </c>
      <c r="BH217" s="274">
        <v>11240.68</v>
      </c>
      <c r="BI217" s="274">
        <v>11261.052</v>
      </c>
      <c r="BJ217" s="274">
        <v>11275.199000000001</v>
      </c>
      <c r="BK217" s="274">
        <v>11284.043</v>
      </c>
      <c r="BL217" s="274">
        <v>11290.239</v>
      </c>
      <c r="BM217" s="274">
        <v>11297.441999999999</v>
      </c>
      <c r="BN217" s="274">
        <v>11308.133</v>
      </c>
      <c r="BO217" s="274">
        <v>11323.57</v>
      </c>
      <c r="BP217" s="274">
        <v>11342.630999999999</v>
      </c>
      <c r="BQ217" s="274">
        <v>11362.504999999999</v>
      </c>
      <c r="BR217" s="274">
        <v>11379.111000000001</v>
      </c>
      <c r="BS217" s="274">
        <v>11389.562</v>
      </c>
    </row>
    <row r="218" spans="1:71" x14ac:dyDescent="0.4">
      <c r="A218" s="270">
        <v>199</v>
      </c>
      <c r="B218" s="271" t="s">
        <v>890</v>
      </c>
      <c r="C218" s="276" t="s">
        <v>949</v>
      </c>
      <c r="D218" s="273"/>
      <c r="E218" s="273">
        <v>531</v>
      </c>
      <c r="F218" s="274">
        <v>100.184</v>
      </c>
      <c r="G218" s="274">
        <v>104.566</v>
      </c>
      <c r="H218" s="274">
        <v>108.285</v>
      </c>
      <c r="I218" s="274">
        <v>111.501</v>
      </c>
      <c r="J218" s="274">
        <v>114.34699999999999</v>
      </c>
      <c r="K218" s="274">
        <v>116.91800000000001</v>
      </c>
      <c r="L218" s="274">
        <v>119.28</v>
      </c>
      <c r="M218" s="274">
        <v>121.465</v>
      </c>
      <c r="N218" s="274">
        <v>123.48</v>
      </c>
      <c r="O218" s="274">
        <v>125.309</v>
      </c>
      <c r="P218" s="274">
        <v>126.93899999999999</v>
      </c>
      <c r="Q218" s="274">
        <v>128.37899999999999</v>
      </c>
      <c r="R218" s="274">
        <v>129.68100000000001</v>
      </c>
      <c r="S218" s="274">
        <v>130.94999999999999</v>
      </c>
      <c r="T218" s="274">
        <v>132.31899999999999</v>
      </c>
      <c r="U218" s="274">
        <v>133.876</v>
      </c>
      <c r="V218" s="274">
        <v>135.654</v>
      </c>
      <c r="W218" s="274">
        <v>137.614</v>
      </c>
      <c r="X218" s="274">
        <v>139.67400000000001</v>
      </c>
      <c r="Y218" s="274">
        <v>141.714</v>
      </c>
      <c r="Z218" s="274">
        <v>143.63499999999999</v>
      </c>
      <c r="AA218" s="274">
        <v>145.44900000000001</v>
      </c>
      <c r="AB218" s="274">
        <v>147.154</v>
      </c>
      <c r="AC218" s="274">
        <v>148.619</v>
      </c>
      <c r="AD218" s="274">
        <v>149.68600000000001</v>
      </c>
      <c r="AE218" s="274">
        <v>150.25800000000001</v>
      </c>
      <c r="AF218" s="274">
        <v>150.244</v>
      </c>
      <c r="AG218" s="274">
        <v>149.714</v>
      </c>
      <c r="AH218" s="274">
        <v>148.93600000000001</v>
      </c>
      <c r="AI218" s="274">
        <v>148.27699999999999</v>
      </c>
      <c r="AJ218" s="274">
        <v>147.995</v>
      </c>
      <c r="AK218" s="274">
        <v>148.20699999999999</v>
      </c>
      <c r="AL218" s="274">
        <v>148.81299999999999</v>
      </c>
      <c r="AM218" s="274">
        <v>149.584</v>
      </c>
      <c r="AN218" s="274">
        <v>150.184</v>
      </c>
      <c r="AO218" s="274">
        <v>150.375</v>
      </c>
      <c r="AP218" s="274">
        <v>150.059</v>
      </c>
      <c r="AQ218" s="274">
        <v>149.328</v>
      </c>
      <c r="AR218" s="274">
        <v>148.35900000000001</v>
      </c>
      <c r="AS218" s="274">
        <v>147.41499999999999</v>
      </c>
      <c r="AT218" s="274">
        <v>146.67400000000001</v>
      </c>
      <c r="AU218" s="274">
        <v>146.238</v>
      </c>
      <c r="AV218" s="274">
        <v>146.01599999999999</v>
      </c>
      <c r="AW218" s="274">
        <v>145.762</v>
      </c>
      <c r="AX218" s="274">
        <v>145.12799999999999</v>
      </c>
      <c r="AY218" s="274">
        <v>143.886</v>
      </c>
      <c r="AZ218" s="274">
        <v>141.98099999999999</v>
      </c>
      <c r="BA218" s="274">
        <v>139.56800000000001</v>
      </c>
      <c r="BB218" s="274">
        <v>136.89500000000001</v>
      </c>
      <c r="BC218" s="274">
        <v>134.31200000000001</v>
      </c>
      <c r="BD218" s="274">
        <v>132.101</v>
      </c>
      <c r="BE218" s="274">
        <v>130.27099999999999</v>
      </c>
      <c r="BF218" s="274">
        <v>128.822</v>
      </c>
      <c r="BG218" s="274">
        <v>128.011</v>
      </c>
      <c r="BH218" s="274">
        <v>128.14400000000001</v>
      </c>
      <c r="BI218" s="274">
        <v>129.398</v>
      </c>
      <c r="BJ218" s="274">
        <v>131.922</v>
      </c>
      <c r="BK218" s="274">
        <v>135.56299999999999</v>
      </c>
      <c r="BL218" s="274">
        <v>139.82300000000001</v>
      </c>
      <c r="BM218" s="274">
        <v>144.006</v>
      </c>
      <c r="BN218" s="274">
        <v>147.60499999999999</v>
      </c>
      <c r="BO218" s="274">
        <v>150.43799999999999</v>
      </c>
      <c r="BP218" s="274">
        <v>152.619</v>
      </c>
      <c r="BQ218" s="274">
        <v>154.304</v>
      </c>
      <c r="BR218" s="274">
        <v>155.76300000000001</v>
      </c>
      <c r="BS218" s="274">
        <v>157.203</v>
      </c>
    </row>
    <row r="219" spans="1:71" x14ac:dyDescent="0.4">
      <c r="A219" s="270">
        <v>200</v>
      </c>
      <c r="B219" s="271" t="s">
        <v>890</v>
      </c>
      <c r="C219" s="276" t="s">
        <v>367</v>
      </c>
      <c r="D219" s="273"/>
      <c r="E219" s="273">
        <v>212</v>
      </c>
      <c r="F219" s="274">
        <v>51.100999999999999</v>
      </c>
      <c r="G219" s="274">
        <v>51.706000000000003</v>
      </c>
      <c r="H219" s="274">
        <v>52.298000000000002</v>
      </c>
      <c r="I219" s="274">
        <v>52.945</v>
      </c>
      <c r="J219" s="274">
        <v>53.69</v>
      </c>
      <c r="K219" s="274">
        <v>54.557000000000002</v>
      </c>
      <c r="L219" s="274">
        <v>55.545000000000002</v>
      </c>
      <c r="M219" s="274">
        <v>56.631</v>
      </c>
      <c r="N219" s="274">
        <v>57.774999999999999</v>
      </c>
      <c r="O219" s="274">
        <v>58.92</v>
      </c>
      <c r="P219" s="274">
        <v>60.015999999999998</v>
      </c>
      <c r="Q219" s="274">
        <v>61.034999999999997</v>
      </c>
      <c r="R219" s="274">
        <v>61.984000000000002</v>
      </c>
      <c r="S219" s="274">
        <v>62.92</v>
      </c>
      <c r="T219" s="274">
        <v>63.920999999999999</v>
      </c>
      <c r="U219" s="274">
        <v>65.037999999999997</v>
      </c>
      <c r="V219" s="274">
        <v>66.305000000000007</v>
      </c>
      <c r="W219" s="274">
        <v>67.682000000000002</v>
      </c>
      <c r="X219" s="274">
        <v>69.042000000000002</v>
      </c>
      <c r="Y219" s="274">
        <v>70.212000000000003</v>
      </c>
      <c r="Z219" s="274">
        <v>71.075999999999993</v>
      </c>
      <c r="AA219" s="274">
        <v>71.566000000000003</v>
      </c>
      <c r="AB219" s="274">
        <v>71.736999999999995</v>
      </c>
      <c r="AC219" s="274">
        <v>71.745000000000005</v>
      </c>
      <c r="AD219" s="274">
        <v>71.811000000000007</v>
      </c>
      <c r="AE219" s="274">
        <v>72.090999999999994</v>
      </c>
      <c r="AF219" s="274">
        <v>72.647999999999996</v>
      </c>
      <c r="AG219" s="274">
        <v>73.411000000000001</v>
      </c>
      <c r="AH219" s="274">
        <v>74.239000000000004</v>
      </c>
      <c r="AI219" s="274">
        <v>74.923000000000002</v>
      </c>
      <c r="AJ219" s="274">
        <v>75.313000000000002</v>
      </c>
      <c r="AK219" s="274">
        <v>75.376000000000005</v>
      </c>
      <c r="AL219" s="274">
        <v>75.168000000000006</v>
      </c>
      <c r="AM219" s="274">
        <v>74.75</v>
      </c>
      <c r="AN219" s="274">
        <v>74.215000000000003</v>
      </c>
      <c r="AO219" s="274">
        <v>73.64</v>
      </c>
      <c r="AP219" s="274">
        <v>73.025000000000006</v>
      </c>
      <c r="AQ219" s="274">
        <v>72.367999999999995</v>
      </c>
      <c r="AR219" s="274">
        <v>71.742999999999995</v>
      </c>
      <c r="AS219" s="274">
        <v>71.242000000000004</v>
      </c>
      <c r="AT219" s="274">
        <v>70.927999999999997</v>
      </c>
      <c r="AU219" s="274">
        <v>70.849000000000004</v>
      </c>
      <c r="AV219" s="274">
        <v>70.977999999999994</v>
      </c>
      <c r="AW219" s="274">
        <v>71.204999999999998</v>
      </c>
      <c r="AX219" s="274">
        <v>71.372</v>
      </c>
      <c r="AY219" s="274">
        <v>71.367000000000004</v>
      </c>
      <c r="AZ219" s="274">
        <v>71.146000000000001</v>
      </c>
      <c r="BA219" s="274">
        <v>70.756</v>
      </c>
      <c r="BB219" s="274">
        <v>70.295000000000002</v>
      </c>
      <c r="BC219" s="274">
        <v>69.902000000000001</v>
      </c>
      <c r="BD219" s="274">
        <v>69.679000000000002</v>
      </c>
      <c r="BE219" s="274">
        <v>69.66</v>
      </c>
      <c r="BF219" s="274">
        <v>69.805999999999997</v>
      </c>
      <c r="BG219" s="274">
        <v>70.058000000000007</v>
      </c>
      <c r="BH219" s="274">
        <v>70.325000000000003</v>
      </c>
      <c r="BI219" s="274">
        <v>70.542000000000002</v>
      </c>
      <c r="BJ219" s="274">
        <v>70.69</v>
      </c>
      <c r="BK219" s="274">
        <v>70.795000000000002</v>
      </c>
      <c r="BL219" s="274">
        <v>70.881</v>
      </c>
      <c r="BM219" s="274">
        <v>70.995000000000005</v>
      </c>
      <c r="BN219" s="274">
        <v>71.167000000000002</v>
      </c>
      <c r="BO219" s="274">
        <v>71.402000000000001</v>
      </c>
      <c r="BP219" s="274">
        <v>71.685000000000002</v>
      </c>
      <c r="BQ219" s="274">
        <v>72.004999999999995</v>
      </c>
      <c r="BR219" s="274">
        <v>72.340999999999994</v>
      </c>
      <c r="BS219" s="274">
        <v>72.680000000000007</v>
      </c>
    </row>
    <row r="220" spans="1:71" x14ac:dyDescent="0.4">
      <c r="A220" s="270">
        <v>201</v>
      </c>
      <c r="B220" s="271" t="s">
        <v>890</v>
      </c>
      <c r="C220" s="276" t="s">
        <v>369</v>
      </c>
      <c r="D220" s="273"/>
      <c r="E220" s="273">
        <v>214</v>
      </c>
      <c r="F220" s="274">
        <v>2364.65</v>
      </c>
      <c r="G220" s="274">
        <v>2438.4119999999998</v>
      </c>
      <c r="H220" s="274">
        <v>2517.2579999999998</v>
      </c>
      <c r="I220" s="274">
        <v>2600.8009999999999</v>
      </c>
      <c r="J220" s="274">
        <v>2688.701</v>
      </c>
      <c r="K220" s="274">
        <v>2780.66</v>
      </c>
      <c r="L220" s="274">
        <v>2876.431</v>
      </c>
      <c r="M220" s="274">
        <v>2975.8090000000002</v>
      </c>
      <c r="N220" s="274">
        <v>3078.6289999999999</v>
      </c>
      <c r="O220" s="274">
        <v>3184.7539999999999</v>
      </c>
      <c r="P220" s="274">
        <v>3294.0390000000002</v>
      </c>
      <c r="Q220" s="274">
        <v>3406.299</v>
      </c>
      <c r="R220" s="274">
        <v>3521.2759999999998</v>
      </c>
      <c r="S220" s="274">
        <v>3638.6280000000002</v>
      </c>
      <c r="T220" s="274">
        <v>3757.962</v>
      </c>
      <c r="U220" s="274">
        <v>3878.9520000000002</v>
      </c>
      <c r="V220" s="274">
        <v>4001.377</v>
      </c>
      <c r="W220" s="274">
        <v>4125.107</v>
      </c>
      <c r="X220" s="274">
        <v>4250.0259999999998</v>
      </c>
      <c r="Y220" s="274">
        <v>4376.0559999999996</v>
      </c>
      <c r="Z220" s="274">
        <v>4503.1139999999996</v>
      </c>
      <c r="AA220" s="274">
        <v>4631.1139999999996</v>
      </c>
      <c r="AB220" s="274">
        <v>4759.9350000000004</v>
      </c>
      <c r="AC220" s="274">
        <v>4889.4369999999999</v>
      </c>
      <c r="AD220" s="274">
        <v>5019.4709999999995</v>
      </c>
      <c r="AE220" s="274">
        <v>5149.9340000000002</v>
      </c>
      <c r="AF220" s="274">
        <v>5280.7269999999999</v>
      </c>
      <c r="AG220" s="274">
        <v>5411.8670000000002</v>
      </c>
      <c r="AH220" s="274">
        <v>5543.52</v>
      </c>
      <c r="AI220" s="274">
        <v>5675.93</v>
      </c>
      <c r="AJ220" s="274">
        <v>5809.2709999999997</v>
      </c>
      <c r="AK220" s="274">
        <v>5943.5910000000003</v>
      </c>
      <c r="AL220" s="274">
        <v>6078.8159999999998</v>
      </c>
      <c r="AM220" s="274">
        <v>6214.857</v>
      </c>
      <c r="AN220" s="274">
        <v>6351.5720000000001</v>
      </c>
      <c r="AO220" s="274">
        <v>6488.857</v>
      </c>
      <c r="AP220" s="274">
        <v>6626.5439999999999</v>
      </c>
      <c r="AQ220" s="274">
        <v>6764.6229999999996</v>
      </c>
      <c r="AR220" s="274">
        <v>6903.3140000000003</v>
      </c>
      <c r="AS220" s="274">
        <v>7042.94</v>
      </c>
      <c r="AT220" s="274">
        <v>7183.6459999999997</v>
      </c>
      <c r="AU220" s="274">
        <v>7325.6220000000003</v>
      </c>
      <c r="AV220" s="274">
        <v>7468.5510000000004</v>
      </c>
      <c r="AW220" s="274">
        <v>7611.4629999999997</v>
      </c>
      <c r="AX220" s="274">
        <v>7753.0519999999997</v>
      </c>
      <c r="AY220" s="274">
        <v>7892.42</v>
      </c>
      <c r="AZ220" s="274">
        <v>8029.1139999999996</v>
      </c>
      <c r="BA220" s="274">
        <v>8163.4740000000002</v>
      </c>
      <c r="BB220" s="274">
        <v>8296.375</v>
      </c>
      <c r="BC220" s="274">
        <v>8429.116</v>
      </c>
      <c r="BD220" s="274">
        <v>8562.6229999999996</v>
      </c>
      <c r="BE220" s="274">
        <v>8697.1270000000004</v>
      </c>
      <c r="BF220" s="274">
        <v>8832.2860000000001</v>
      </c>
      <c r="BG220" s="274">
        <v>8967.759</v>
      </c>
      <c r="BH220" s="274">
        <v>9102.9969999999994</v>
      </c>
      <c r="BI220" s="274">
        <v>9237.5650000000005</v>
      </c>
      <c r="BJ220" s="274">
        <v>9371.3330000000005</v>
      </c>
      <c r="BK220" s="274">
        <v>9504.3359999999993</v>
      </c>
      <c r="BL220" s="274">
        <v>9636.491</v>
      </c>
      <c r="BM220" s="274">
        <v>9767.7369999999992</v>
      </c>
      <c r="BN220" s="274">
        <v>9897.9830000000002</v>
      </c>
      <c r="BO220" s="274">
        <v>10027.14</v>
      </c>
      <c r="BP220" s="274">
        <v>10155.036</v>
      </c>
      <c r="BQ220" s="274">
        <v>10281.407999999999</v>
      </c>
      <c r="BR220" s="274">
        <v>10405.942999999999</v>
      </c>
      <c r="BS220" s="274">
        <v>10528.391</v>
      </c>
    </row>
    <row r="221" spans="1:71" x14ac:dyDescent="0.4">
      <c r="A221" s="270">
        <v>202</v>
      </c>
      <c r="B221" s="271" t="s">
        <v>890</v>
      </c>
      <c r="C221" s="276" t="s">
        <v>426</v>
      </c>
      <c r="D221" s="273"/>
      <c r="E221" s="273">
        <v>308</v>
      </c>
      <c r="F221" s="274">
        <v>76.676000000000002</v>
      </c>
      <c r="G221" s="274">
        <v>76.626000000000005</v>
      </c>
      <c r="H221" s="274">
        <v>77.135000000000005</v>
      </c>
      <c r="I221" s="274">
        <v>78.102999999999994</v>
      </c>
      <c r="J221" s="274">
        <v>79.432000000000002</v>
      </c>
      <c r="K221" s="274">
        <v>81.028000000000006</v>
      </c>
      <c r="L221" s="274">
        <v>82.796999999999997</v>
      </c>
      <c r="M221" s="274">
        <v>84.647000000000006</v>
      </c>
      <c r="N221" s="274">
        <v>86.495000000000005</v>
      </c>
      <c r="O221" s="274">
        <v>88.256</v>
      </c>
      <c r="P221" s="274">
        <v>89.861000000000004</v>
      </c>
      <c r="Q221" s="274">
        <v>91.26</v>
      </c>
      <c r="R221" s="274">
        <v>92.424000000000007</v>
      </c>
      <c r="S221" s="274">
        <v>93.353999999999999</v>
      </c>
      <c r="T221" s="274">
        <v>94.066000000000003</v>
      </c>
      <c r="U221" s="274">
        <v>94.578999999999994</v>
      </c>
      <c r="V221" s="274">
        <v>94.878</v>
      </c>
      <c r="W221" s="274">
        <v>94.962000000000003</v>
      </c>
      <c r="X221" s="274">
        <v>94.875</v>
      </c>
      <c r="Y221" s="274">
        <v>94.682000000000002</v>
      </c>
      <c r="Z221" s="274">
        <v>94.43</v>
      </c>
      <c r="AA221" s="274">
        <v>94.18</v>
      </c>
      <c r="AB221" s="274">
        <v>93.936999999999998</v>
      </c>
      <c r="AC221" s="274">
        <v>93.629000000000005</v>
      </c>
      <c r="AD221" s="274">
        <v>93.150999999999996</v>
      </c>
      <c r="AE221" s="274">
        <v>92.453000000000003</v>
      </c>
      <c r="AF221" s="274">
        <v>91.435000000000002</v>
      </c>
      <c r="AG221" s="274">
        <v>90.186999999999998</v>
      </c>
      <c r="AH221" s="274">
        <v>89.07</v>
      </c>
      <c r="AI221" s="274">
        <v>88.570999999999998</v>
      </c>
      <c r="AJ221" s="274">
        <v>89.004000000000005</v>
      </c>
      <c r="AK221" s="274">
        <v>90.575000000000003</v>
      </c>
      <c r="AL221" s="274">
        <v>93.090999999999994</v>
      </c>
      <c r="AM221" s="274">
        <v>95.980999999999995</v>
      </c>
      <c r="AN221" s="274">
        <v>98.44</v>
      </c>
      <c r="AO221" s="274">
        <v>99.906999999999996</v>
      </c>
      <c r="AP221" s="274">
        <v>100.146</v>
      </c>
      <c r="AQ221" s="274">
        <v>99.381</v>
      </c>
      <c r="AR221" s="274">
        <v>98.063000000000002</v>
      </c>
      <c r="AS221" s="274">
        <v>96.870999999999995</v>
      </c>
      <c r="AT221" s="274">
        <v>96.286000000000001</v>
      </c>
      <c r="AU221" s="274">
        <v>96.454999999999998</v>
      </c>
      <c r="AV221" s="274">
        <v>97.200999999999993</v>
      </c>
      <c r="AW221" s="274">
        <v>98.302000000000007</v>
      </c>
      <c r="AX221" s="274">
        <v>99.403000000000006</v>
      </c>
      <c r="AY221" s="274">
        <v>100.253</v>
      </c>
      <c r="AZ221" s="274">
        <v>100.79600000000001</v>
      </c>
      <c r="BA221" s="274">
        <v>101.125</v>
      </c>
      <c r="BB221" s="274">
        <v>101.30200000000001</v>
      </c>
      <c r="BC221" s="274">
        <v>101.441</v>
      </c>
      <c r="BD221" s="274">
        <v>101.62</v>
      </c>
      <c r="BE221" s="274">
        <v>101.849</v>
      </c>
      <c r="BF221" s="274">
        <v>102.1</v>
      </c>
      <c r="BG221" s="274">
        <v>102.371</v>
      </c>
      <c r="BH221" s="274">
        <v>102.657</v>
      </c>
      <c r="BI221" s="274">
        <v>102.95099999999999</v>
      </c>
      <c r="BJ221" s="274">
        <v>103.259</v>
      </c>
      <c r="BK221" s="274">
        <v>103.587</v>
      </c>
      <c r="BL221" s="274">
        <v>103.934</v>
      </c>
      <c r="BM221" s="274">
        <v>104.298</v>
      </c>
      <c r="BN221" s="274">
        <v>104.67700000000001</v>
      </c>
      <c r="BO221" s="274">
        <v>105.07</v>
      </c>
      <c r="BP221" s="274">
        <v>105.476</v>
      </c>
      <c r="BQ221" s="274">
        <v>105.902</v>
      </c>
      <c r="BR221" s="274">
        <v>106.349</v>
      </c>
      <c r="BS221" s="274">
        <v>106.825</v>
      </c>
    </row>
    <row r="222" spans="1:71" x14ac:dyDescent="0.4">
      <c r="A222" s="270">
        <v>203</v>
      </c>
      <c r="B222" s="271" t="s">
        <v>890</v>
      </c>
      <c r="C222" s="276" t="s">
        <v>950</v>
      </c>
      <c r="D222" s="273">
        <v>23</v>
      </c>
      <c r="E222" s="273">
        <v>312</v>
      </c>
      <c r="F222" s="274">
        <v>209.999</v>
      </c>
      <c r="G222" s="274">
        <v>213.05500000000001</v>
      </c>
      <c r="H222" s="274">
        <v>217.24799999999999</v>
      </c>
      <c r="I222" s="274">
        <v>222.55099999999999</v>
      </c>
      <c r="J222" s="274">
        <v>228.874</v>
      </c>
      <c r="K222" s="274">
        <v>236.06100000000001</v>
      </c>
      <c r="L222" s="274">
        <v>243.886</v>
      </c>
      <c r="M222" s="274">
        <v>252.05699999999999</v>
      </c>
      <c r="N222" s="274">
        <v>260.23200000000003</v>
      </c>
      <c r="O222" s="274">
        <v>268.04399999999998</v>
      </c>
      <c r="P222" s="274">
        <v>275.16899999999998</v>
      </c>
      <c r="Q222" s="274">
        <v>281.41199999999998</v>
      </c>
      <c r="R222" s="274">
        <v>286.76799999999997</v>
      </c>
      <c r="S222" s="274">
        <v>291.459</v>
      </c>
      <c r="T222" s="274">
        <v>295.83999999999997</v>
      </c>
      <c r="U222" s="274">
        <v>300.17</v>
      </c>
      <c r="V222" s="274">
        <v>304.50599999999997</v>
      </c>
      <c r="W222" s="274">
        <v>308.73399999999998</v>
      </c>
      <c r="X222" s="274">
        <v>312.73</v>
      </c>
      <c r="Y222" s="274">
        <v>316.30399999999997</v>
      </c>
      <c r="Z222" s="274">
        <v>319.32900000000001</v>
      </c>
      <c r="AA222" s="274">
        <v>321.84800000000001</v>
      </c>
      <c r="AB222" s="274">
        <v>323.947</v>
      </c>
      <c r="AC222" s="274">
        <v>325.601</v>
      </c>
      <c r="AD222" s="274">
        <v>326.78399999999999</v>
      </c>
      <c r="AE222" s="274">
        <v>327.52499999999998</v>
      </c>
      <c r="AF222" s="274">
        <v>327.755</v>
      </c>
      <c r="AG222" s="274">
        <v>327.62400000000002</v>
      </c>
      <c r="AH222" s="274">
        <v>327.65300000000002</v>
      </c>
      <c r="AI222" s="274">
        <v>328.529</v>
      </c>
      <c r="AJ222" s="274">
        <v>330.72899999999998</v>
      </c>
      <c r="AK222" s="274">
        <v>334.43299999999999</v>
      </c>
      <c r="AL222" s="274">
        <v>339.46499999999997</v>
      </c>
      <c r="AM222" s="274">
        <v>345.49599999999998</v>
      </c>
      <c r="AN222" s="274">
        <v>352.02</v>
      </c>
      <c r="AO222" s="274">
        <v>358.63299999999998</v>
      </c>
      <c r="AP222" s="274">
        <v>365.29300000000001</v>
      </c>
      <c r="AQ222" s="274">
        <v>372.02100000000002</v>
      </c>
      <c r="AR222" s="274">
        <v>378.55399999999997</v>
      </c>
      <c r="AS222" s="274">
        <v>384.58300000000003</v>
      </c>
      <c r="AT222" s="274">
        <v>389.90699999999998</v>
      </c>
      <c r="AU222" s="274">
        <v>394.35899999999998</v>
      </c>
      <c r="AV222" s="274">
        <v>398.01400000000001</v>
      </c>
      <c r="AW222" s="274">
        <v>401.221</v>
      </c>
      <c r="AX222" s="274">
        <v>404.48</v>
      </c>
      <c r="AY222" s="274">
        <v>408.15199999999999</v>
      </c>
      <c r="AZ222" s="274">
        <v>412.32400000000001</v>
      </c>
      <c r="BA222" s="274">
        <v>416.86700000000002</v>
      </c>
      <c r="BB222" s="274">
        <v>421.65300000000002</v>
      </c>
      <c r="BC222" s="274">
        <v>426.47399999999999</v>
      </c>
      <c r="BD222" s="274">
        <v>431.15699999999998</v>
      </c>
      <c r="BE222" s="274">
        <v>435.73</v>
      </c>
      <c r="BF222" s="274">
        <v>440.202</v>
      </c>
      <c r="BG222" s="274">
        <v>444.36</v>
      </c>
      <c r="BH222" s="274">
        <v>447.93599999999998</v>
      </c>
      <c r="BI222" s="274">
        <v>450.76100000000002</v>
      </c>
      <c r="BJ222" s="274">
        <v>452.714</v>
      </c>
      <c r="BK222" s="274">
        <v>453.904</v>
      </c>
      <c r="BL222" s="274">
        <v>454.68</v>
      </c>
      <c r="BM222" s="274">
        <v>455.536</v>
      </c>
      <c r="BN222" s="274">
        <v>456.822</v>
      </c>
      <c r="BO222" s="274">
        <v>458.66699999999997</v>
      </c>
      <c r="BP222" s="274">
        <v>460.96499999999997</v>
      </c>
      <c r="BQ222" s="274">
        <v>463.536</v>
      </c>
      <c r="BR222" s="274">
        <v>466.1</v>
      </c>
      <c r="BS222" s="274">
        <v>468.45</v>
      </c>
    </row>
    <row r="223" spans="1:71" x14ac:dyDescent="0.4">
      <c r="A223" s="270">
        <v>204</v>
      </c>
      <c r="B223" s="271" t="s">
        <v>890</v>
      </c>
      <c r="C223" s="276" t="s">
        <v>442</v>
      </c>
      <c r="D223" s="273"/>
      <c r="E223" s="273">
        <v>332</v>
      </c>
      <c r="F223" s="274">
        <v>3221.277</v>
      </c>
      <c r="G223" s="274">
        <v>3275.3679999999999</v>
      </c>
      <c r="H223" s="274">
        <v>3331.5819999999999</v>
      </c>
      <c r="I223" s="274">
        <v>3390.047</v>
      </c>
      <c r="J223" s="274">
        <v>3450.8560000000002</v>
      </c>
      <c r="K223" s="274">
        <v>3514.0720000000001</v>
      </c>
      <c r="L223" s="274">
        <v>3579.723</v>
      </c>
      <c r="M223" s="274">
        <v>3647.806</v>
      </c>
      <c r="N223" s="274">
        <v>3718.2860000000001</v>
      </c>
      <c r="O223" s="274">
        <v>3791.0990000000002</v>
      </c>
      <c r="P223" s="274">
        <v>3866.16</v>
      </c>
      <c r="Q223" s="274">
        <v>3943.3629999999998</v>
      </c>
      <c r="R223" s="274">
        <v>4022.596</v>
      </c>
      <c r="S223" s="274">
        <v>4103.732</v>
      </c>
      <c r="T223" s="274">
        <v>4186.6360000000004</v>
      </c>
      <c r="U223" s="274">
        <v>4271.1329999999998</v>
      </c>
      <c r="V223" s="274">
        <v>4357.482</v>
      </c>
      <c r="W223" s="274">
        <v>4445.5309999999999</v>
      </c>
      <c r="X223" s="274">
        <v>4534.2330000000002</v>
      </c>
      <c r="Y223" s="274">
        <v>4622.2089999999998</v>
      </c>
      <c r="Z223" s="274">
        <v>4708.6390000000001</v>
      </c>
      <c r="AA223" s="274">
        <v>4793.1570000000002</v>
      </c>
      <c r="AB223" s="274">
        <v>4876.558</v>
      </c>
      <c r="AC223" s="274">
        <v>4960.6549999999997</v>
      </c>
      <c r="AD223" s="274">
        <v>5047.9480000000003</v>
      </c>
      <c r="AE223" s="274">
        <v>5140.357</v>
      </c>
      <c r="AF223" s="274">
        <v>5238.2420000000002</v>
      </c>
      <c r="AG223" s="274">
        <v>5341.4179999999997</v>
      </c>
      <c r="AH223" s="274">
        <v>5450.55</v>
      </c>
      <c r="AI223" s="274">
        <v>5566.2650000000003</v>
      </c>
      <c r="AJ223" s="274">
        <v>5688.8320000000003</v>
      </c>
      <c r="AK223" s="274">
        <v>5818.6729999999998</v>
      </c>
      <c r="AL223" s="274">
        <v>5955.2650000000003</v>
      </c>
      <c r="AM223" s="274">
        <v>6096.69</v>
      </c>
      <c r="AN223" s="274">
        <v>6240.33</v>
      </c>
      <c r="AO223" s="274">
        <v>6384.1959999999999</v>
      </c>
      <c r="AP223" s="274">
        <v>6527.5450000000001</v>
      </c>
      <c r="AQ223" s="274">
        <v>6670.5659999999998</v>
      </c>
      <c r="AR223" s="274">
        <v>6813.3440000000001</v>
      </c>
      <c r="AS223" s="274">
        <v>6956.3010000000004</v>
      </c>
      <c r="AT223" s="274">
        <v>7099.7330000000002</v>
      </c>
      <c r="AU223" s="274">
        <v>7243.3909999999996</v>
      </c>
      <c r="AV223" s="274">
        <v>7386.9740000000002</v>
      </c>
      <c r="AW223" s="274">
        <v>7530.7030000000004</v>
      </c>
      <c r="AX223" s="274">
        <v>7674.9110000000001</v>
      </c>
      <c r="AY223" s="274">
        <v>7819.8059999999996</v>
      </c>
      <c r="AZ223" s="274">
        <v>7965.5479999999998</v>
      </c>
      <c r="BA223" s="274">
        <v>8111.9539999999997</v>
      </c>
      <c r="BB223" s="274">
        <v>8258.4840000000004</v>
      </c>
      <c r="BC223" s="274">
        <v>8404.3960000000006</v>
      </c>
      <c r="BD223" s="274">
        <v>8549.2019999999993</v>
      </c>
      <c r="BE223" s="274">
        <v>8692.5640000000003</v>
      </c>
      <c r="BF223" s="274">
        <v>8834.7389999999996</v>
      </c>
      <c r="BG223" s="274">
        <v>8976.5550000000003</v>
      </c>
      <c r="BH223" s="274">
        <v>9119.1820000000007</v>
      </c>
      <c r="BI223" s="274">
        <v>9263.4089999999997</v>
      </c>
      <c r="BJ223" s="274">
        <v>9409.4789999999994</v>
      </c>
      <c r="BK223" s="274">
        <v>9556.9580000000005</v>
      </c>
      <c r="BL223" s="274">
        <v>9705.1299999999992</v>
      </c>
      <c r="BM223" s="274">
        <v>9852.9529999999995</v>
      </c>
      <c r="BN223" s="274">
        <v>9999.6170000000002</v>
      </c>
      <c r="BO223" s="274">
        <v>10144.89</v>
      </c>
      <c r="BP223" s="274">
        <v>10288.828</v>
      </c>
      <c r="BQ223" s="274">
        <v>10431.249</v>
      </c>
      <c r="BR223" s="274">
        <v>10572.029</v>
      </c>
      <c r="BS223" s="274">
        <v>10711.066999999999</v>
      </c>
    </row>
    <row r="224" spans="1:71" x14ac:dyDescent="0.4">
      <c r="A224" s="270">
        <v>205</v>
      </c>
      <c r="B224" s="271" t="s">
        <v>890</v>
      </c>
      <c r="C224" s="276" t="s">
        <v>482</v>
      </c>
      <c r="D224" s="273"/>
      <c r="E224" s="273">
        <v>388</v>
      </c>
      <c r="F224" s="274">
        <v>1402.896</v>
      </c>
      <c r="G224" s="274">
        <v>1436.8510000000001</v>
      </c>
      <c r="H224" s="274">
        <v>1468.3610000000001</v>
      </c>
      <c r="I224" s="274">
        <v>1496.6289999999999</v>
      </c>
      <c r="J224" s="274">
        <v>1521.3119999999999</v>
      </c>
      <c r="K224" s="274">
        <v>1542.5229999999999</v>
      </c>
      <c r="L224" s="274">
        <v>1560.8579999999999</v>
      </c>
      <c r="M224" s="274">
        <v>1577.3720000000001</v>
      </c>
      <c r="N224" s="274">
        <v>1593.4880000000001</v>
      </c>
      <c r="O224" s="274">
        <v>1610.8520000000001</v>
      </c>
      <c r="P224" s="274">
        <v>1630.914</v>
      </c>
      <c r="Q224" s="274">
        <v>1654.461</v>
      </c>
      <c r="R224" s="274">
        <v>1681.222</v>
      </c>
      <c r="S224" s="274">
        <v>1709.69</v>
      </c>
      <c r="T224" s="274">
        <v>1737.616</v>
      </c>
      <c r="U224" s="274">
        <v>1763.4359999999999</v>
      </c>
      <c r="V224" s="274">
        <v>1786.547</v>
      </c>
      <c r="W224" s="274">
        <v>1807.64</v>
      </c>
      <c r="X224" s="274">
        <v>1827.989</v>
      </c>
      <c r="Y224" s="274">
        <v>1849.463</v>
      </c>
      <c r="Z224" s="274">
        <v>1873.3530000000001</v>
      </c>
      <c r="AA224" s="274">
        <v>1900.2429999999999</v>
      </c>
      <c r="AB224" s="274">
        <v>1929.556</v>
      </c>
      <c r="AC224" s="274">
        <v>1960.0429999999999</v>
      </c>
      <c r="AD224" s="274">
        <v>1989.88</v>
      </c>
      <c r="AE224" s="274">
        <v>2017.83</v>
      </c>
      <c r="AF224" s="274">
        <v>2043.097</v>
      </c>
      <c r="AG224" s="274">
        <v>2066.2469999999998</v>
      </c>
      <c r="AH224" s="274">
        <v>2089.0149999999999</v>
      </c>
      <c r="AI224" s="274">
        <v>2113.88</v>
      </c>
      <c r="AJ224" s="274">
        <v>2142.4380000000001</v>
      </c>
      <c r="AK224" s="274">
        <v>2175.634</v>
      </c>
      <c r="AL224" s="274">
        <v>2212.4</v>
      </c>
      <c r="AM224" s="274">
        <v>2249.89</v>
      </c>
      <c r="AN224" s="274">
        <v>2284.1179999999999</v>
      </c>
      <c r="AO224" s="274">
        <v>2312.337</v>
      </c>
      <c r="AP224" s="274">
        <v>2333.4270000000001</v>
      </c>
      <c r="AQ224" s="274">
        <v>2348.5720000000001</v>
      </c>
      <c r="AR224" s="274">
        <v>2360.1590000000001</v>
      </c>
      <c r="AS224" s="274">
        <v>2371.7130000000002</v>
      </c>
      <c r="AT224" s="274">
        <v>2385.806</v>
      </c>
      <c r="AU224" s="274">
        <v>2403.0819999999999</v>
      </c>
      <c r="AV224" s="274">
        <v>2422.7829999999999</v>
      </c>
      <c r="AW224" s="274">
        <v>2444.3879999999999</v>
      </c>
      <c r="AX224" s="274">
        <v>2466.9029999999998</v>
      </c>
      <c r="AY224" s="274">
        <v>2489.54</v>
      </c>
      <c r="AZ224" s="274">
        <v>2512.34</v>
      </c>
      <c r="BA224" s="274">
        <v>2535.4430000000002</v>
      </c>
      <c r="BB224" s="274">
        <v>2558.241</v>
      </c>
      <c r="BC224" s="274">
        <v>2579.973</v>
      </c>
      <c r="BD224" s="274">
        <v>2600.0949999999998</v>
      </c>
      <c r="BE224" s="274">
        <v>2618.3249999999998</v>
      </c>
      <c r="BF224" s="274">
        <v>2634.779</v>
      </c>
      <c r="BG224" s="274">
        <v>2649.8249999999998</v>
      </c>
      <c r="BH224" s="274">
        <v>2664.049</v>
      </c>
      <c r="BI224" s="274">
        <v>2677.8879999999999</v>
      </c>
      <c r="BJ224" s="274">
        <v>2691.444</v>
      </c>
      <c r="BK224" s="274">
        <v>2704.6060000000002</v>
      </c>
      <c r="BL224" s="274">
        <v>2717.3440000000001</v>
      </c>
      <c r="BM224" s="274">
        <v>2729.5749999999998</v>
      </c>
      <c r="BN224" s="274">
        <v>2741.2530000000002</v>
      </c>
      <c r="BO224" s="274">
        <v>2752.3580000000002</v>
      </c>
      <c r="BP224" s="274">
        <v>2762.9650000000001</v>
      </c>
      <c r="BQ224" s="274">
        <v>2773.2150000000001</v>
      </c>
      <c r="BR224" s="274">
        <v>2783.3009999999999</v>
      </c>
      <c r="BS224" s="274">
        <v>2793.335</v>
      </c>
    </row>
    <row r="225" spans="1:71" x14ac:dyDescent="0.4">
      <c r="A225" s="270">
        <v>206</v>
      </c>
      <c r="B225" s="271" t="s">
        <v>890</v>
      </c>
      <c r="C225" s="276" t="s">
        <v>951</v>
      </c>
      <c r="D225" s="273"/>
      <c r="E225" s="273">
        <v>474</v>
      </c>
      <c r="F225" s="274">
        <v>222.001</v>
      </c>
      <c r="G225" s="274">
        <v>224.41800000000001</v>
      </c>
      <c r="H225" s="274">
        <v>228.268</v>
      </c>
      <c r="I225" s="274">
        <v>233.26499999999999</v>
      </c>
      <c r="J225" s="274">
        <v>239.14699999999999</v>
      </c>
      <c r="K225" s="274">
        <v>245.679</v>
      </c>
      <c r="L225" s="274">
        <v>252.65199999999999</v>
      </c>
      <c r="M225" s="274">
        <v>259.88099999999997</v>
      </c>
      <c r="N225" s="274">
        <v>267.20800000000003</v>
      </c>
      <c r="O225" s="274">
        <v>274.49599999999998</v>
      </c>
      <c r="P225" s="274">
        <v>281.625</v>
      </c>
      <c r="Q225" s="274">
        <v>288.483</v>
      </c>
      <c r="R225" s="274">
        <v>294.964</v>
      </c>
      <c r="S225" s="274">
        <v>300.95800000000003</v>
      </c>
      <c r="T225" s="274">
        <v>306.37</v>
      </c>
      <c r="U225" s="274">
        <v>311.12900000000002</v>
      </c>
      <c r="V225" s="274">
        <v>315.17500000000001</v>
      </c>
      <c r="W225" s="274">
        <v>318.50200000000001</v>
      </c>
      <c r="X225" s="274">
        <v>321.18099999999998</v>
      </c>
      <c r="Y225" s="274">
        <v>323.32299999999998</v>
      </c>
      <c r="Z225" s="274">
        <v>325.017</v>
      </c>
      <c r="AA225" s="274">
        <v>326.33800000000002</v>
      </c>
      <c r="AB225" s="274">
        <v>327.30399999999997</v>
      </c>
      <c r="AC225" s="274">
        <v>327.89699999999999</v>
      </c>
      <c r="AD225" s="274">
        <v>328.07299999999998</v>
      </c>
      <c r="AE225" s="274">
        <v>327.84100000000001</v>
      </c>
      <c r="AF225" s="274">
        <v>327.17200000000003</v>
      </c>
      <c r="AG225" s="274">
        <v>326.2</v>
      </c>
      <c r="AH225" s="274">
        <v>325.29300000000001</v>
      </c>
      <c r="AI225" s="274">
        <v>324.93299999999999</v>
      </c>
      <c r="AJ225" s="274">
        <v>325.459</v>
      </c>
      <c r="AK225" s="274">
        <v>327</v>
      </c>
      <c r="AL225" s="274">
        <v>329.44900000000001</v>
      </c>
      <c r="AM225" s="274">
        <v>332.61</v>
      </c>
      <c r="AN225" s="274">
        <v>336.173</v>
      </c>
      <c r="AO225" s="274">
        <v>339.88600000000002</v>
      </c>
      <c r="AP225" s="274">
        <v>343.74700000000001</v>
      </c>
      <c r="AQ225" s="274">
        <v>347.76799999999997</v>
      </c>
      <c r="AR225" s="274">
        <v>351.72300000000001</v>
      </c>
      <c r="AS225" s="274">
        <v>355.346</v>
      </c>
      <c r="AT225" s="274">
        <v>358.45800000000003</v>
      </c>
      <c r="AU225" s="274">
        <v>360.90300000000002</v>
      </c>
      <c r="AV225" s="274">
        <v>362.762</v>
      </c>
      <c r="AW225" s="274">
        <v>364.38200000000001</v>
      </c>
      <c r="AX225" s="274">
        <v>366.25900000000001</v>
      </c>
      <c r="AY225" s="274">
        <v>368.73599999999999</v>
      </c>
      <c r="AZ225" s="274">
        <v>371.92399999999998</v>
      </c>
      <c r="BA225" s="274">
        <v>375.65699999999998</v>
      </c>
      <c r="BB225" s="274">
        <v>379.66699999999997</v>
      </c>
      <c r="BC225" s="274">
        <v>383.55500000000001</v>
      </c>
      <c r="BD225" s="274">
        <v>387.01799999999997</v>
      </c>
      <c r="BE225" s="274">
        <v>390.01499999999999</v>
      </c>
      <c r="BF225" s="274">
        <v>392.601</v>
      </c>
      <c r="BG225" s="274">
        <v>394.685</v>
      </c>
      <c r="BH225" s="274">
        <v>396.18200000000002</v>
      </c>
      <c r="BI225" s="274">
        <v>397.05599999999998</v>
      </c>
      <c r="BJ225" s="274">
        <v>397.22399999999999</v>
      </c>
      <c r="BK225" s="274">
        <v>396.74799999999999</v>
      </c>
      <c r="BL225" s="274">
        <v>395.92</v>
      </c>
      <c r="BM225" s="274">
        <v>395.13799999999998</v>
      </c>
      <c r="BN225" s="274">
        <v>394.69</v>
      </c>
      <c r="BO225" s="274">
        <v>394.69799999999998</v>
      </c>
      <c r="BP225" s="274">
        <v>395.08</v>
      </c>
      <c r="BQ225" s="274">
        <v>395.66199999999998</v>
      </c>
      <c r="BR225" s="274">
        <v>396.17599999999999</v>
      </c>
      <c r="BS225" s="274">
        <v>396.42500000000001</v>
      </c>
    </row>
    <row r="226" spans="1:71" x14ac:dyDescent="0.4">
      <c r="A226" s="270">
        <v>207</v>
      </c>
      <c r="B226" s="271" t="s">
        <v>890</v>
      </c>
      <c r="C226" s="276" t="s">
        <v>952</v>
      </c>
      <c r="D226" s="273"/>
      <c r="E226" s="273">
        <v>500</v>
      </c>
      <c r="F226" s="274">
        <v>13.521000000000001</v>
      </c>
      <c r="G226" s="274">
        <v>14.122999999999999</v>
      </c>
      <c r="H226" s="274">
        <v>14.489000000000001</v>
      </c>
      <c r="I226" s="274">
        <v>14.627000000000001</v>
      </c>
      <c r="J226" s="274">
        <v>14.552</v>
      </c>
      <c r="K226" s="274">
        <v>14.297000000000001</v>
      </c>
      <c r="L226" s="274">
        <v>13.901999999999999</v>
      </c>
      <c r="M226" s="274">
        <v>13.420999999999999</v>
      </c>
      <c r="N226" s="274">
        <v>12.917999999999999</v>
      </c>
      <c r="O226" s="274">
        <v>12.459</v>
      </c>
      <c r="P226" s="274">
        <v>12.102</v>
      </c>
      <c r="Q226" s="274">
        <v>11.882</v>
      </c>
      <c r="R226" s="274">
        <v>11.798</v>
      </c>
      <c r="S226" s="274">
        <v>11.805999999999999</v>
      </c>
      <c r="T226" s="274">
        <v>11.837</v>
      </c>
      <c r="U226" s="274">
        <v>11.842000000000001</v>
      </c>
      <c r="V226" s="274">
        <v>11.808999999999999</v>
      </c>
      <c r="W226" s="274">
        <v>11.757999999999999</v>
      </c>
      <c r="X226" s="274">
        <v>11.698</v>
      </c>
      <c r="Y226" s="274">
        <v>11.65</v>
      </c>
      <c r="Z226" s="274">
        <v>11.629</v>
      </c>
      <c r="AA226" s="274">
        <v>11.632999999999999</v>
      </c>
      <c r="AB226" s="274">
        <v>11.654999999999999</v>
      </c>
      <c r="AC226" s="274">
        <v>11.689</v>
      </c>
      <c r="AD226" s="274">
        <v>11.733000000000001</v>
      </c>
      <c r="AE226" s="274">
        <v>11.78</v>
      </c>
      <c r="AF226" s="274">
        <v>11.832000000000001</v>
      </c>
      <c r="AG226" s="274">
        <v>11.885</v>
      </c>
      <c r="AH226" s="274">
        <v>11.928000000000001</v>
      </c>
      <c r="AI226" s="274">
        <v>11.943</v>
      </c>
      <c r="AJ226" s="274">
        <v>11.919</v>
      </c>
      <c r="AK226" s="274">
        <v>11.85</v>
      </c>
      <c r="AL226" s="274">
        <v>11.743</v>
      </c>
      <c r="AM226" s="274">
        <v>11.606999999999999</v>
      </c>
      <c r="AN226" s="274">
        <v>11.464</v>
      </c>
      <c r="AO226" s="274">
        <v>11.324999999999999</v>
      </c>
      <c r="AP226" s="274">
        <v>11.183</v>
      </c>
      <c r="AQ226" s="274">
        <v>11.031000000000001</v>
      </c>
      <c r="AR226" s="274">
        <v>10.891</v>
      </c>
      <c r="AS226" s="274">
        <v>10.788</v>
      </c>
      <c r="AT226" s="274">
        <v>10.734</v>
      </c>
      <c r="AU226" s="274">
        <v>10.763</v>
      </c>
      <c r="AV226" s="274">
        <v>10.856</v>
      </c>
      <c r="AW226" s="274">
        <v>10.891999999999999</v>
      </c>
      <c r="AX226" s="274">
        <v>10.717000000000001</v>
      </c>
      <c r="AY226" s="274">
        <v>10.231999999999999</v>
      </c>
      <c r="AZ226" s="274">
        <v>9.375</v>
      </c>
      <c r="BA226" s="274">
        <v>8.2170000000000005</v>
      </c>
      <c r="BB226" s="274">
        <v>6.9359999999999999</v>
      </c>
      <c r="BC226" s="274">
        <v>5.7880000000000003</v>
      </c>
      <c r="BD226" s="274">
        <v>4.9560000000000004</v>
      </c>
      <c r="BE226" s="274">
        <v>4.5049999999999999</v>
      </c>
      <c r="BF226" s="274">
        <v>4.3769999999999998</v>
      </c>
      <c r="BG226" s="274">
        <v>4.4740000000000002</v>
      </c>
      <c r="BH226" s="274">
        <v>4.6449999999999996</v>
      </c>
      <c r="BI226" s="274">
        <v>4.7770000000000001</v>
      </c>
      <c r="BJ226" s="274">
        <v>4.8470000000000004</v>
      </c>
      <c r="BK226" s="274">
        <v>4.8879999999999999</v>
      </c>
      <c r="BL226" s="274">
        <v>4.9050000000000002</v>
      </c>
      <c r="BM226" s="274">
        <v>4.9219999999999997</v>
      </c>
      <c r="BN226" s="274">
        <v>4.9530000000000003</v>
      </c>
      <c r="BO226" s="274">
        <v>4.9930000000000003</v>
      </c>
      <c r="BP226" s="274">
        <v>5.03</v>
      </c>
      <c r="BQ226" s="274">
        <v>5.0629999999999997</v>
      </c>
      <c r="BR226" s="274">
        <v>5.0940000000000003</v>
      </c>
      <c r="BS226" s="274">
        <v>5.125</v>
      </c>
    </row>
    <row r="227" spans="1:71" x14ac:dyDescent="0.4">
      <c r="A227" s="270">
        <v>208</v>
      </c>
      <c r="B227" s="271" t="s">
        <v>890</v>
      </c>
      <c r="C227" s="276" t="s">
        <v>953</v>
      </c>
      <c r="D227" s="273"/>
      <c r="E227" s="273">
        <v>630</v>
      </c>
      <c r="F227" s="274">
        <v>2218</v>
      </c>
      <c r="G227" s="274">
        <v>2209.692</v>
      </c>
      <c r="H227" s="274">
        <v>2212.098</v>
      </c>
      <c r="I227" s="274">
        <v>2221.0129999999999</v>
      </c>
      <c r="J227" s="274">
        <v>2233.4059999999999</v>
      </c>
      <c r="K227" s="274">
        <v>2247.415</v>
      </c>
      <c r="L227" s="274">
        <v>2262.4160000000002</v>
      </c>
      <c r="M227" s="274">
        <v>2278.9560000000001</v>
      </c>
      <c r="N227" s="274">
        <v>2298.5659999999998</v>
      </c>
      <c r="O227" s="274">
        <v>2323.4540000000002</v>
      </c>
      <c r="P227" s="274">
        <v>2355.5700000000002</v>
      </c>
      <c r="Q227" s="274">
        <v>2395.6120000000001</v>
      </c>
      <c r="R227" s="274">
        <v>2442.1570000000002</v>
      </c>
      <c r="S227" s="274">
        <v>2491.2840000000001</v>
      </c>
      <c r="T227" s="274">
        <v>2537.6370000000002</v>
      </c>
      <c r="U227" s="274">
        <v>2577.5300000000002</v>
      </c>
      <c r="V227" s="274">
        <v>2609.261</v>
      </c>
      <c r="W227" s="274">
        <v>2634.348</v>
      </c>
      <c r="X227" s="274">
        <v>2656.2750000000001</v>
      </c>
      <c r="Y227" s="274">
        <v>2680.19</v>
      </c>
      <c r="Z227" s="274">
        <v>2709.8130000000001</v>
      </c>
      <c r="AA227" s="274">
        <v>2745.9520000000002</v>
      </c>
      <c r="AB227" s="274">
        <v>2787.3510000000001</v>
      </c>
      <c r="AC227" s="274">
        <v>2833.1469999999999</v>
      </c>
      <c r="AD227" s="274">
        <v>2881.7829999999999</v>
      </c>
      <c r="AE227" s="274">
        <v>2931.9319999999998</v>
      </c>
      <c r="AF227" s="274">
        <v>2983.63</v>
      </c>
      <c r="AG227" s="274">
        <v>3036.799</v>
      </c>
      <c r="AH227" s="274">
        <v>3089.8049999999998</v>
      </c>
      <c r="AI227" s="274">
        <v>3140.6</v>
      </c>
      <c r="AJ227" s="274">
        <v>3187.7040000000002</v>
      </c>
      <c r="AK227" s="274">
        <v>3230.4969999999998</v>
      </c>
      <c r="AL227" s="274">
        <v>3269.2869999999998</v>
      </c>
      <c r="AM227" s="274">
        <v>3304.7170000000001</v>
      </c>
      <c r="AN227" s="274">
        <v>3337.89</v>
      </c>
      <c r="AO227" s="274">
        <v>3369.7139999999999</v>
      </c>
      <c r="AP227" s="274">
        <v>3400.0479999999998</v>
      </c>
      <c r="AQ227" s="274">
        <v>3428.846</v>
      </c>
      <c r="AR227" s="274">
        <v>3457.232</v>
      </c>
      <c r="AS227" s="274">
        <v>3486.6379999999999</v>
      </c>
      <c r="AT227" s="274">
        <v>3517.9839999999999</v>
      </c>
      <c r="AU227" s="274">
        <v>3551.5819999999999</v>
      </c>
      <c r="AV227" s="274">
        <v>3586.848</v>
      </c>
      <c r="AW227" s="274">
        <v>3622.652</v>
      </c>
      <c r="AX227" s="274">
        <v>3657.3679999999999</v>
      </c>
      <c r="AY227" s="274">
        <v>3689.6489999999999</v>
      </c>
      <c r="AZ227" s="274">
        <v>3719.4459999999999</v>
      </c>
      <c r="BA227" s="274">
        <v>3746.634</v>
      </c>
      <c r="BB227" s="274">
        <v>3769.7179999999998</v>
      </c>
      <c r="BC227" s="274">
        <v>3786.884</v>
      </c>
      <c r="BD227" s="274">
        <v>3796.9810000000002</v>
      </c>
      <c r="BE227" s="274">
        <v>3799.366</v>
      </c>
      <c r="BF227" s="274">
        <v>3794.7559999999999</v>
      </c>
      <c r="BG227" s="274">
        <v>3785.1010000000001</v>
      </c>
      <c r="BH227" s="274">
        <v>3773.183</v>
      </c>
      <c r="BI227" s="274">
        <v>3761.143</v>
      </c>
      <c r="BJ227" s="274">
        <v>3749.6529999999998</v>
      </c>
      <c r="BK227" s="274">
        <v>3738.549</v>
      </c>
      <c r="BL227" s="274">
        <v>3728.1260000000002</v>
      </c>
      <c r="BM227" s="274">
        <v>3718.473</v>
      </c>
      <c r="BN227" s="274">
        <v>3709.6709999999998</v>
      </c>
      <c r="BO227" s="274">
        <v>3701.9969999999998</v>
      </c>
      <c r="BP227" s="274">
        <v>3695.674</v>
      </c>
      <c r="BQ227" s="274">
        <v>3690.5909999999999</v>
      </c>
      <c r="BR227" s="274">
        <v>3686.5169999999998</v>
      </c>
      <c r="BS227" s="274">
        <v>3683.2379999999998</v>
      </c>
    </row>
    <row r="228" spans="1:71" x14ac:dyDescent="0.4">
      <c r="A228" s="270">
        <v>209</v>
      </c>
      <c r="B228" s="271" t="s">
        <v>890</v>
      </c>
      <c r="C228" s="276" t="s">
        <v>693</v>
      </c>
      <c r="D228" s="273"/>
      <c r="E228" s="273">
        <v>659</v>
      </c>
      <c r="F228" s="274">
        <v>46.054000000000002</v>
      </c>
      <c r="G228" s="274">
        <v>46.139000000000003</v>
      </c>
      <c r="H228" s="274">
        <v>46.494999999999997</v>
      </c>
      <c r="I228" s="274">
        <v>47.051000000000002</v>
      </c>
      <c r="J228" s="274">
        <v>47.738999999999997</v>
      </c>
      <c r="K228" s="274">
        <v>48.494</v>
      </c>
      <c r="L228" s="274">
        <v>49.253</v>
      </c>
      <c r="M228" s="274">
        <v>49.954999999999998</v>
      </c>
      <c r="N228" s="274">
        <v>50.545999999999999</v>
      </c>
      <c r="O228" s="274">
        <v>50.972999999999999</v>
      </c>
      <c r="P228" s="274">
        <v>51.197000000000003</v>
      </c>
      <c r="Q228" s="274">
        <v>51.195</v>
      </c>
      <c r="R228" s="274">
        <v>50.966000000000001</v>
      </c>
      <c r="S228" s="274">
        <v>50.533000000000001</v>
      </c>
      <c r="T228" s="274">
        <v>49.933999999999997</v>
      </c>
      <c r="U228" s="274">
        <v>49.210999999999999</v>
      </c>
      <c r="V228" s="274">
        <v>48.354999999999997</v>
      </c>
      <c r="W228" s="274">
        <v>47.383000000000003</v>
      </c>
      <c r="X228" s="274">
        <v>46.399000000000001</v>
      </c>
      <c r="Y228" s="274">
        <v>45.533999999999999</v>
      </c>
      <c r="Z228" s="274">
        <v>44.881999999999998</v>
      </c>
      <c r="AA228" s="274">
        <v>44.49</v>
      </c>
      <c r="AB228" s="274">
        <v>44.328000000000003</v>
      </c>
      <c r="AC228" s="274">
        <v>44.314</v>
      </c>
      <c r="AD228" s="274">
        <v>44.326999999999998</v>
      </c>
      <c r="AE228" s="274">
        <v>44.277999999999999</v>
      </c>
      <c r="AF228" s="274">
        <v>44.142000000000003</v>
      </c>
      <c r="AG228" s="274">
        <v>43.945999999999998</v>
      </c>
      <c r="AH228" s="274">
        <v>43.704000000000001</v>
      </c>
      <c r="AI228" s="274">
        <v>43.45</v>
      </c>
      <c r="AJ228" s="274">
        <v>43.204999999999998</v>
      </c>
      <c r="AK228" s="274">
        <v>42.978000000000002</v>
      </c>
      <c r="AL228" s="274">
        <v>42.761000000000003</v>
      </c>
      <c r="AM228" s="274">
        <v>42.539000000000001</v>
      </c>
      <c r="AN228" s="274">
        <v>42.293999999999997</v>
      </c>
      <c r="AO228" s="274">
        <v>42.017000000000003</v>
      </c>
      <c r="AP228" s="274">
        <v>41.697000000000003</v>
      </c>
      <c r="AQ228" s="274">
        <v>41.353000000000002</v>
      </c>
      <c r="AR228" s="274">
        <v>41.045000000000002</v>
      </c>
      <c r="AS228" s="274">
        <v>40.853999999999999</v>
      </c>
      <c r="AT228" s="274">
        <v>40.832999999999998</v>
      </c>
      <c r="AU228" s="274">
        <v>41.009</v>
      </c>
      <c r="AV228" s="274">
        <v>41.36</v>
      </c>
      <c r="AW228" s="274">
        <v>41.835999999999999</v>
      </c>
      <c r="AX228" s="274">
        <v>42.363</v>
      </c>
      <c r="AY228" s="274">
        <v>42.887999999999998</v>
      </c>
      <c r="AZ228" s="274">
        <v>43.390999999999998</v>
      </c>
      <c r="BA228" s="274">
        <v>43.884999999999998</v>
      </c>
      <c r="BB228" s="274">
        <v>44.390999999999998</v>
      </c>
      <c r="BC228" s="274">
        <v>44.938000000000002</v>
      </c>
      <c r="BD228" s="274">
        <v>45.543999999999997</v>
      </c>
      <c r="BE228" s="274">
        <v>46.216000000000001</v>
      </c>
      <c r="BF228" s="274">
        <v>46.935000000000002</v>
      </c>
      <c r="BG228" s="274">
        <v>47.680999999999997</v>
      </c>
      <c r="BH228" s="274">
        <v>48.423999999999999</v>
      </c>
      <c r="BI228" s="274">
        <v>49.139000000000003</v>
      </c>
      <c r="BJ228" s="274">
        <v>49.817999999999998</v>
      </c>
      <c r="BK228" s="274">
        <v>50.465000000000003</v>
      </c>
      <c r="BL228" s="274">
        <v>51.093000000000004</v>
      </c>
      <c r="BM228" s="274">
        <v>51.716999999999999</v>
      </c>
      <c r="BN228" s="274">
        <v>52.351999999999997</v>
      </c>
      <c r="BO228" s="274">
        <v>52.997999999999998</v>
      </c>
      <c r="BP228" s="274">
        <v>53.65</v>
      </c>
      <c r="BQ228" s="274">
        <v>54.301000000000002</v>
      </c>
      <c r="BR228" s="274">
        <v>54.944000000000003</v>
      </c>
      <c r="BS228" s="274">
        <v>55.572000000000003</v>
      </c>
    </row>
    <row r="229" spans="1:71" x14ac:dyDescent="0.4">
      <c r="A229" s="270">
        <v>210</v>
      </c>
      <c r="B229" s="271" t="s">
        <v>890</v>
      </c>
      <c r="C229" s="276" t="s">
        <v>695</v>
      </c>
      <c r="D229" s="273"/>
      <c r="E229" s="273">
        <v>662</v>
      </c>
      <c r="F229" s="274">
        <v>82.783000000000001</v>
      </c>
      <c r="G229" s="274">
        <v>83.875</v>
      </c>
      <c r="H229" s="274">
        <v>84.763000000000005</v>
      </c>
      <c r="I229" s="274">
        <v>85.492999999999995</v>
      </c>
      <c r="J229" s="274">
        <v>86.108000000000004</v>
      </c>
      <c r="K229" s="274">
        <v>86.655000000000001</v>
      </c>
      <c r="L229" s="274">
        <v>87.177999999999997</v>
      </c>
      <c r="M229" s="274">
        <v>87.721999999999994</v>
      </c>
      <c r="N229" s="274">
        <v>88.331000000000003</v>
      </c>
      <c r="O229" s="274">
        <v>89.046999999999997</v>
      </c>
      <c r="P229" s="274">
        <v>89.900999999999996</v>
      </c>
      <c r="Q229" s="274">
        <v>90.912999999999997</v>
      </c>
      <c r="R229" s="274">
        <v>92.085999999999999</v>
      </c>
      <c r="S229" s="274">
        <v>93.397000000000006</v>
      </c>
      <c r="T229" s="274">
        <v>94.813000000000002</v>
      </c>
      <c r="U229" s="274">
        <v>96.302999999999997</v>
      </c>
      <c r="V229" s="274">
        <v>97.876999999999995</v>
      </c>
      <c r="W229" s="274">
        <v>99.525999999999996</v>
      </c>
      <c r="X229" s="274">
        <v>101.181</v>
      </c>
      <c r="Y229" s="274">
        <v>102.747</v>
      </c>
      <c r="Z229" s="274">
        <v>104.16200000000001</v>
      </c>
      <c r="AA229" s="274">
        <v>105.389</v>
      </c>
      <c r="AB229" s="274">
        <v>106.458</v>
      </c>
      <c r="AC229" s="274">
        <v>107.461</v>
      </c>
      <c r="AD229" s="274">
        <v>108.53400000000001</v>
      </c>
      <c r="AE229" s="274">
        <v>109.77</v>
      </c>
      <c r="AF229" s="274">
        <v>111.211</v>
      </c>
      <c r="AG229" s="274">
        <v>112.82599999999999</v>
      </c>
      <c r="AH229" s="274">
        <v>114.551</v>
      </c>
      <c r="AI229" s="274">
        <v>116.292</v>
      </c>
      <c r="AJ229" s="274">
        <v>117.98399999999999</v>
      </c>
      <c r="AK229" s="274">
        <v>119.593</v>
      </c>
      <c r="AL229" s="274">
        <v>121.15</v>
      </c>
      <c r="AM229" s="274">
        <v>122.738</v>
      </c>
      <c r="AN229" s="274">
        <v>124.468</v>
      </c>
      <c r="AO229" s="274">
        <v>126.416</v>
      </c>
      <c r="AP229" s="274">
        <v>128.62</v>
      </c>
      <c r="AQ229" s="274">
        <v>131.03200000000001</v>
      </c>
      <c r="AR229" s="274">
        <v>133.53200000000001</v>
      </c>
      <c r="AS229" s="274">
        <v>135.95400000000001</v>
      </c>
      <c r="AT229" s="274">
        <v>138.18</v>
      </c>
      <c r="AU229" s="274">
        <v>140.15899999999999</v>
      </c>
      <c r="AV229" s="274">
        <v>141.934</v>
      </c>
      <c r="AW229" s="274">
        <v>143.59200000000001</v>
      </c>
      <c r="AX229" s="274">
        <v>145.262</v>
      </c>
      <c r="AY229" s="274">
        <v>147.04</v>
      </c>
      <c r="AZ229" s="274">
        <v>148.96199999999999</v>
      </c>
      <c r="BA229" s="274">
        <v>150.994</v>
      </c>
      <c r="BB229" s="274">
        <v>153.066</v>
      </c>
      <c r="BC229" s="274">
        <v>155.07300000000001</v>
      </c>
      <c r="BD229" s="274">
        <v>156.94900000000001</v>
      </c>
      <c r="BE229" s="274">
        <v>158.65</v>
      </c>
      <c r="BF229" s="274">
        <v>160.21799999999999</v>
      </c>
      <c r="BG229" s="274">
        <v>161.767</v>
      </c>
      <c r="BH229" s="274">
        <v>163.46199999999999</v>
      </c>
      <c r="BI229" s="274">
        <v>165.40700000000001</v>
      </c>
      <c r="BJ229" s="274">
        <v>167.65600000000001</v>
      </c>
      <c r="BK229" s="274">
        <v>170.14599999999999</v>
      </c>
      <c r="BL229" s="274">
        <v>172.72900000000001</v>
      </c>
      <c r="BM229" s="274">
        <v>175.196</v>
      </c>
      <c r="BN229" s="274">
        <v>177.39699999999999</v>
      </c>
      <c r="BO229" s="274">
        <v>179.27799999999999</v>
      </c>
      <c r="BP229" s="274">
        <v>180.89</v>
      </c>
      <c r="BQ229" s="274">
        <v>182.30500000000001</v>
      </c>
      <c r="BR229" s="274">
        <v>183.64500000000001</v>
      </c>
      <c r="BS229" s="274">
        <v>184.999</v>
      </c>
    </row>
    <row r="230" spans="1:71" x14ac:dyDescent="0.4">
      <c r="A230" s="270">
        <v>211</v>
      </c>
      <c r="B230" s="271" t="s">
        <v>890</v>
      </c>
      <c r="C230" s="276" t="s">
        <v>697</v>
      </c>
      <c r="D230" s="273"/>
      <c r="E230" s="273">
        <v>670</v>
      </c>
      <c r="F230" s="274">
        <v>67</v>
      </c>
      <c r="G230" s="274">
        <v>68.066999999999993</v>
      </c>
      <c r="H230" s="274">
        <v>69.27</v>
      </c>
      <c r="I230" s="274">
        <v>70.593999999999994</v>
      </c>
      <c r="J230" s="274">
        <v>72.022000000000006</v>
      </c>
      <c r="K230" s="274">
        <v>73.528000000000006</v>
      </c>
      <c r="L230" s="274">
        <v>75.081000000000003</v>
      </c>
      <c r="M230" s="274">
        <v>76.641999999999996</v>
      </c>
      <c r="N230" s="274">
        <v>78.168000000000006</v>
      </c>
      <c r="O230" s="274">
        <v>79.616</v>
      </c>
      <c r="P230" s="274">
        <v>80.947999999999993</v>
      </c>
      <c r="Q230" s="274">
        <v>82.144000000000005</v>
      </c>
      <c r="R230" s="274">
        <v>83.206000000000003</v>
      </c>
      <c r="S230" s="274">
        <v>84.167000000000002</v>
      </c>
      <c r="T230" s="274">
        <v>85.075999999999993</v>
      </c>
      <c r="U230" s="274">
        <v>85.971999999999994</v>
      </c>
      <c r="V230" s="274">
        <v>86.86</v>
      </c>
      <c r="W230" s="274">
        <v>87.736000000000004</v>
      </c>
      <c r="X230" s="274">
        <v>88.614999999999995</v>
      </c>
      <c r="Y230" s="274">
        <v>89.518000000000001</v>
      </c>
      <c r="Z230" s="274">
        <v>90.456999999999994</v>
      </c>
      <c r="AA230" s="274">
        <v>91.44</v>
      </c>
      <c r="AB230" s="274">
        <v>92.465000000000003</v>
      </c>
      <c r="AC230" s="274">
        <v>93.516000000000005</v>
      </c>
      <c r="AD230" s="274">
        <v>94.572000000000003</v>
      </c>
      <c r="AE230" s="274">
        <v>95.614000000000004</v>
      </c>
      <c r="AF230" s="274">
        <v>96.638999999999996</v>
      </c>
      <c r="AG230" s="274">
        <v>97.649000000000001</v>
      </c>
      <c r="AH230" s="274">
        <v>98.634</v>
      </c>
      <c r="AI230" s="274">
        <v>99.588999999999999</v>
      </c>
      <c r="AJ230" s="274">
        <v>100.506</v>
      </c>
      <c r="AK230" s="274">
        <v>101.378</v>
      </c>
      <c r="AL230" s="274">
        <v>102.202</v>
      </c>
      <c r="AM230" s="274">
        <v>102.985</v>
      </c>
      <c r="AN230" s="274">
        <v>103.742</v>
      </c>
      <c r="AO230" s="274">
        <v>104.477</v>
      </c>
      <c r="AP230" s="274">
        <v>105.197</v>
      </c>
      <c r="AQ230" s="274">
        <v>105.892</v>
      </c>
      <c r="AR230" s="274">
        <v>106.533</v>
      </c>
      <c r="AS230" s="274">
        <v>107.081</v>
      </c>
      <c r="AT230" s="274">
        <v>107.509</v>
      </c>
      <c r="AU230" s="274">
        <v>107.81100000000001</v>
      </c>
      <c r="AV230" s="274">
        <v>108.001</v>
      </c>
      <c r="AW230" s="274">
        <v>108.09699999999999</v>
      </c>
      <c r="AX230" s="274">
        <v>108.129</v>
      </c>
      <c r="AY230" s="274">
        <v>108.122</v>
      </c>
      <c r="AZ230" s="274">
        <v>108.078</v>
      </c>
      <c r="BA230" s="274">
        <v>108.001</v>
      </c>
      <c r="BB230" s="274">
        <v>107.923</v>
      </c>
      <c r="BC230" s="274">
        <v>107.879</v>
      </c>
      <c r="BD230" s="274">
        <v>107.89700000000001</v>
      </c>
      <c r="BE230" s="274">
        <v>107.989</v>
      </c>
      <c r="BF230" s="274">
        <v>108.15</v>
      </c>
      <c r="BG230" s="274">
        <v>108.354</v>
      </c>
      <c r="BH230" s="274">
        <v>108.563</v>
      </c>
      <c r="BI230" s="274">
        <v>108.749</v>
      </c>
      <c r="BJ230" s="274">
        <v>108.908</v>
      </c>
      <c r="BK230" s="274">
        <v>109.04900000000001</v>
      </c>
      <c r="BL230" s="274">
        <v>109.16500000000001</v>
      </c>
      <c r="BM230" s="274">
        <v>109.255</v>
      </c>
      <c r="BN230" s="274">
        <v>109.316</v>
      </c>
      <c r="BO230" s="274">
        <v>109.34099999999999</v>
      </c>
      <c r="BP230" s="274">
        <v>109.334</v>
      </c>
      <c r="BQ230" s="274">
        <v>109.327</v>
      </c>
      <c r="BR230" s="274">
        <v>109.36</v>
      </c>
      <c r="BS230" s="274">
        <v>109.462</v>
      </c>
    </row>
    <row r="231" spans="1:71" x14ac:dyDescent="0.4">
      <c r="A231" s="270">
        <v>212</v>
      </c>
      <c r="B231" s="271" t="s">
        <v>890</v>
      </c>
      <c r="C231" s="276" t="s">
        <v>954</v>
      </c>
      <c r="D231" s="273"/>
      <c r="E231" s="273">
        <v>534</v>
      </c>
      <c r="F231" s="274">
        <v>1.4970000000000001</v>
      </c>
      <c r="G231" s="274">
        <v>1.6639999999999999</v>
      </c>
      <c r="H231" s="274">
        <v>1.7989999999999999</v>
      </c>
      <c r="I231" s="274">
        <v>1.9119999999999999</v>
      </c>
      <c r="J231" s="274">
        <v>2.0129999999999999</v>
      </c>
      <c r="K231" s="274">
        <v>2.11</v>
      </c>
      <c r="L231" s="274">
        <v>2.2109999999999999</v>
      </c>
      <c r="M231" s="274">
        <v>2.3260000000000001</v>
      </c>
      <c r="N231" s="274">
        <v>2.4630000000000001</v>
      </c>
      <c r="O231" s="274">
        <v>2.629</v>
      </c>
      <c r="P231" s="274">
        <v>2.8340000000000001</v>
      </c>
      <c r="Q231" s="274">
        <v>3.08</v>
      </c>
      <c r="R231" s="274">
        <v>3.3690000000000002</v>
      </c>
      <c r="S231" s="274">
        <v>3.6989999999999998</v>
      </c>
      <c r="T231" s="274">
        <v>4.0650000000000004</v>
      </c>
      <c r="U231" s="274">
        <v>4.4640000000000004</v>
      </c>
      <c r="V231" s="274">
        <v>4.8959999999999999</v>
      </c>
      <c r="W231" s="274">
        <v>5.3620000000000001</v>
      </c>
      <c r="X231" s="274">
        <v>5.8520000000000003</v>
      </c>
      <c r="Y231" s="274">
        <v>6.3550000000000004</v>
      </c>
      <c r="Z231" s="274">
        <v>6.8620000000000001</v>
      </c>
      <c r="AA231" s="274">
        <v>7.3730000000000002</v>
      </c>
      <c r="AB231" s="274">
        <v>7.8940000000000001</v>
      </c>
      <c r="AC231" s="274">
        <v>8.4280000000000008</v>
      </c>
      <c r="AD231" s="274">
        <v>8.9779999999999998</v>
      </c>
      <c r="AE231" s="274">
        <v>9.5530000000000008</v>
      </c>
      <c r="AF231" s="274">
        <v>10.154999999999999</v>
      </c>
      <c r="AG231" s="274">
        <v>10.794</v>
      </c>
      <c r="AH231" s="274">
        <v>11.483000000000001</v>
      </c>
      <c r="AI231" s="274">
        <v>12.246</v>
      </c>
      <c r="AJ231" s="274">
        <v>13.098000000000001</v>
      </c>
      <c r="AK231" s="274">
        <v>14.018000000000001</v>
      </c>
      <c r="AL231" s="274">
        <v>15.006</v>
      </c>
      <c r="AM231" s="274">
        <v>16.122</v>
      </c>
      <c r="AN231" s="274">
        <v>17.448</v>
      </c>
      <c r="AO231" s="274">
        <v>19.027000000000001</v>
      </c>
      <c r="AP231" s="274">
        <v>20.901</v>
      </c>
      <c r="AQ231" s="274">
        <v>23.007000000000001</v>
      </c>
      <c r="AR231" s="274">
        <v>25.146999999999998</v>
      </c>
      <c r="AS231" s="274">
        <v>27.056000000000001</v>
      </c>
      <c r="AT231" s="274">
        <v>28.545999999999999</v>
      </c>
      <c r="AU231" s="274">
        <v>29.536999999999999</v>
      </c>
      <c r="AV231" s="274">
        <v>30.093</v>
      </c>
      <c r="AW231" s="274">
        <v>30.338999999999999</v>
      </c>
      <c r="AX231" s="274">
        <v>30.471</v>
      </c>
      <c r="AY231" s="274">
        <v>30.631</v>
      </c>
      <c r="AZ231" s="274">
        <v>30.855</v>
      </c>
      <c r="BA231" s="274">
        <v>31.106000000000002</v>
      </c>
      <c r="BB231" s="274">
        <v>31.372</v>
      </c>
      <c r="BC231" s="274">
        <v>31.617000000000001</v>
      </c>
      <c r="BD231" s="274">
        <v>31.82</v>
      </c>
      <c r="BE231" s="274">
        <v>32</v>
      </c>
      <c r="BF231" s="274">
        <v>32.180999999999997</v>
      </c>
      <c r="BG231" s="274">
        <v>32.344000000000001</v>
      </c>
      <c r="BH231" s="274">
        <v>32.463000000000001</v>
      </c>
      <c r="BI231" s="274">
        <v>32.527999999999999</v>
      </c>
      <c r="BJ231" s="274">
        <v>32.512</v>
      </c>
      <c r="BK231" s="274">
        <v>32.442999999999998</v>
      </c>
      <c r="BL231" s="274">
        <v>32.432000000000002</v>
      </c>
      <c r="BM231" s="274">
        <v>32.627000000000002</v>
      </c>
      <c r="BN231" s="274">
        <v>33.125</v>
      </c>
      <c r="BO231" s="274">
        <v>33.978999999999999</v>
      </c>
      <c r="BP231" s="274">
        <v>35.134</v>
      </c>
      <c r="BQ231" s="274">
        <v>36.442</v>
      </c>
      <c r="BR231" s="274">
        <v>37.695999999999998</v>
      </c>
      <c r="BS231" s="274">
        <v>38.744999999999997</v>
      </c>
    </row>
    <row r="232" spans="1:71" x14ac:dyDescent="0.4">
      <c r="A232" s="270">
        <v>213</v>
      </c>
      <c r="B232" s="271" t="s">
        <v>890</v>
      </c>
      <c r="C232" s="276" t="s">
        <v>805</v>
      </c>
      <c r="D232" s="273"/>
      <c r="E232" s="273">
        <v>780</v>
      </c>
      <c r="F232" s="274">
        <v>645.62800000000004</v>
      </c>
      <c r="G232" s="274">
        <v>658.83</v>
      </c>
      <c r="H232" s="274">
        <v>675.74199999999996</v>
      </c>
      <c r="I232" s="274">
        <v>695.46699999999998</v>
      </c>
      <c r="J232" s="274">
        <v>717.16099999999994</v>
      </c>
      <c r="K232" s="274">
        <v>740.03599999999994</v>
      </c>
      <c r="L232" s="274">
        <v>763.35500000000002</v>
      </c>
      <c r="M232" s="274">
        <v>786.43799999999999</v>
      </c>
      <c r="N232" s="274">
        <v>808.66300000000001</v>
      </c>
      <c r="O232" s="274">
        <v>829.48900000000003</v>
      </c>
      <c r="P232" s="274">
        <v>848.48099999999999</v>
      </c>
      <c r="Q232" s="274">
        <v>865.35599999999999</v>
      </c>
      <c r="R232" s="274">
        <v>880.01900000000001</v>
      </c>
      <c r="S232" s="274">
        <v>892.57100000000003</v>
      </c>
      <c r="T232" s="274">
        <v>903.27200000000005</v>
      </c>
      <c r="U232" s="274">
        <v>912.41899999999998</v>
      </c>
      <c r="V232" s="274">
        <v>919.90200000000004</v>
      </c>
      <c r="W232" s="274">
        <v>925.91800000000001</v>
      </c>
      <c r="X232" s="274">
        <v>931.46600000000001</v>
      </c>
      <c r="Y232" s="274">
        <v>937.846</v>
      </c>
      <c r="Z232" s="274">
        <v>945.99599999999998</v>
      </c>
      <c r="AA232" s="274">
        <v>956.36400000000003</v>
      </c>
      <c r="AB232" s="274">
        <v>968.74199999999996</v>
      </c>
      <c r="AC232" s="274">
        <v>982.59400000000005</v>
      </c>
      <c r="AD232" s="274">
        <v>997.05200000000002</v>
      </c>
      <c r="AE232" s="274">
        <v>1011.487</v>
      </c>
      <c r="AF232" s="274">
        <v>1025.655</v>
      </c>
      <c r="AG232" s="274">
        <v>1039.7570000000001</v>
      </c>
      <c r="AH232" s="274">
        <v>1054.1089999999999</v>
      </c>
      <c r="AI232" s="274">
        <v>1069.1990000000001</v>
      </c>
      <c r="AJ232" s="274">
        <v>1085.308</v>
      </c>
      <c r="AK232" s="274">
        <v>1102.5619999999999</v>
      </c>
      <c r="AL232" s="274">
        <v>1120.6099999999999</v>
      </c>
      <c r="AM232" s="274">
        <v>1138.673</v>
      </c>
      <c r="AN232" s="274">
        <v>1155.701</v>
      </c>
      <c r="AO232" s="274">
        <v>1170.9349999999999</v>
      </c>
      <c r="AP232" s="274">
        <v>1184.0530000000001</v>
      </c>
      <c r="AQ232" s="274">
        <v>1195.2429999999999</v>
      </c>
      <c r="AR232" s="274">
        <v>1204.8900000000001</v>
      </c>
      <c r="AS232" s="274">
        <v>1213.625</v>
      </c>
      <c r="AT232" s="274">
        <v>1221.904</v>
      </c>
      <c r="AU232" s="274">
        <v>1229.9059999999999</v>
      </c>
      <c r="AV232" s="274">
        <v>1237.4860000000001</v>
      </c>
      <c r="AW232" s="274">
        <v>1244.4100000000001</v>
      </c>
      <c r="AX232" s="274">
        <v>1250.316</v>
      </c>
      <c r="AY232" s="274">
        <v>1255.001</v>
      </c>
      <c r="AZ232" s="274">
        <v>1258.365</v>
      </c>
      <c r="BA232" s="274">
        <v>1260.6769999999999</v>
      </c>
      <c r="BB232" s="274">
        <v>1262.5440000000001</v>
      </c>
      <c r="BC232" s="274">
        <v>1264.7809999999999</v>
      </c>
      <c r="BD232" s="274">
        <v>1267.98</v>
      </c>
      <c r="BE232" s="274">
        <v>1272.383</v>
      </c>
      <c r="BF232" s="274">
        <v>1277.8399999999999</v>
      </c>
      <c r="BG232" s="274">
        <v>1284.0519999999999</v>
      </c>
      <c r="BH232" s="274">
        <v>1290.5350000000001</v>
      </c>
      <c r="BI232" s="274">
        <v>1296.933</v>
      </c>
      <c r="BJ232" s="274">
        <v>1303.1410000000001</v>
      </c>
      <c r="BK232" s="274">
        <v>1309.26</v>
      </c>
      <c r="BL232" s="274">
        <v>1315.3720000000001</v>
      </c>
      <c r="BM232" s="274">
        <v>1321.624</v>
      </c>
      <c r="BN232" s="274">
        <v>1328.095</v>
      </c>
      <c r="BO232" s="274">
        <v>1334.79</v>
      </c>
      <c r="BP232" s="274">
        <v>1341.579</v>
      </c>
      <c r="BQ232" s="274">
        <v>1348.24</v>
      </c>
      <c r="BR232" s="274">
        <v>1354.4829999999999</v>
      </c>
      <c r="BS232" s="274">
        <v>1360.088</v>
      </c>
    </row>
    <row r="233" spans="1:71" x14ac:dyDescent="0.4">
      <c r="A233" s="270">
        <v>214</v>
      </c>
      <c r="B233" s="271" t="s">
        <v>890</v>
      </c>
      <c r="C233" s="276" t="s">
        <v>955</v>
      </c>
      <c r="D233" s="273"/>
      <c r="E233" s="273">
        <v>796</v>
      </c>
      <c r="F233" s="274">
        <v>5.0469999999999997</v>
      </c>
      <c r="G233" s="274">
        <v>4.984</v>
      </c>
      <c r="H233" s="274">
        <v>4.9770000000000003</v>
      </c>
      <c r="I233" s="274">
        <v>5.016</v>
      </c>
      <c r="J233" s="274">
        <v>5.0940000000000003</v>
      </c>
      <c r="K233" s="274">
        <v>5.1980000000000004</v>
      </c>
      <c r="L233" s="274">
        <v>5.3179999999999996</v>
      </c>
      <c r="M233" s="274">
        <v>5.4420000000000002</v>
      </c>
      <c r="N233" s="274">
        <v>5.5579999999999998</v>
      </c>
      <c r="O233" s="274">
        <v>5.6559999999999997</v>
      </c>
      <c r="P233" s="274">
        <v>5.7240000000000002</v>
      </c>
      <c r="Q233" s="274">
        <v>5.76</v>
      </c>
      <c r="R233" s="274">
        <v>5.7619999999999996</v>
      </c>
      <c r="S233" s="274">
        <v>5.7409999999999997</v>
      </c>
      <c r="T233" s="274">
        <v>5.7050000000000001</v>
      </c>
      <c r="U233" s="274">
        <v>5.6689999999999996</v>
      </c>
      <c r="V233" s="274">
        <v>5.6289999999999996</v>
      </c>
      <c r="W233" s="274">
        <v>5.5890000000000004</v>
      </c>
      <c r="X233" s="274">
        <v>5.5629999999999997</v>
      </c>
      <c r="Y233" s="274">
        <v>5.5730000000000004</v>
      </c>
      <c r="Z233" s="274">
        <v>5.6319999999999997</v>
      </c>
      <c r="AA233" s="274">
        <v>5.75</v>
      </c>
      <c r="AB233" s="274">
        <v>5.9240000000000004</v>
      </c>
      <c r="AC233" s="274">
        <v>6.1319999999999997</v>
      </c>
      <c r="AD233" s="274">
        <v>6.3460000000000001</v>
      </c>
      <c r="AE233" s="274">
        <v>6.5460000000000003</v>
      </c>
      <c r="AF233" s="274">
        <v>6.7229999999999999</v>
      </c>
      <c r="AG233" s="274">
        <v>6.8860000000000001</v>
      </c>
      <c r="AH233" s="274">
        <v>7.0570000000000004</v>
      </c>
      <c r="AI233" s="274">
        <v>7.2619999999999996</v>
      </c>
      <c r="AJ233" s="274">
        <v>7.5250000000000004</v>
      </c>
      <c r="AK233" s="274">
        <v>7.8550000000000004</v>
      </c>
      <c r="AL233" s="274">
        <v>8.2449999999999992</v>
      </c>
      <c r="AM233" s="274">
        <v>8.6709999999999994</v>
      </c>
      <c r="AN233" s="274">
        <v>9.0969999999999995</v>
      </c>
      <c r="AO233" s="274">
        <v>9.5020000000000007</v>
      </c>
      <c r="AP233" s="274">
        <v>9.8729999999999993</v>
      </c>
      <c r="AQ233" s="274">
        <v>10.224</v>
      </c>
      <c r="AR233" s="274">
        <v>10.587999999999999</v>
      </c>
      <c r="AS233" s="274">
        <v>11.019</v>
      </c>
      <c r="AT233" s="274">
        <v>11.55</v>
      </c>
      <c r="AU233" s="274">
        <v>12.205</v>
      </c>
      <c r="AV233" s="274">
        <v>12.97</v>
      </c>
      <c r="AW233" s="274">
        <v>13.792999999999999</v>
      </c>
      <c r="AX233" s="274">
        <v>14.597</v>
      </c>
      <c r="AY233" s="274">
        <v>15.334</v>
      </c>
      <c r="AZ233" s="274">
        <v>15.967000000000001</v>
      </c>
      <c r="BA233" s="274">
        <v>16.527000000000001</v>
      </c>
      <c r="BB233" s="274">
        <v>17.114000000000001</v>
      </c>
      <c r="BC233" s="274">
        <v>17.866</v>
      </c>
      <c r="BD233" s="274">
        <v>18.876000000000001</v>
      </c>
      <c r="BE233" s="274">
        <v>20.186</v>
      </c>
      <c r="BF233" s="274">
        <v>21.74</v>
      </c>
      <c r="BG233" s="274">
        <v>23.411999999999999</v>
      </c>
      <c r="BH233" s="274">
        <v>25.024999999999999</v>
      </c>
      <c r="BI233" s="274">
        <v>26.45</v>
      </c>
      <c r="BJ233" s="274">
        <v>27.641999999999999</v>
      </c>
      <c r="BK233" s="274">
        <v>28.638000000000002</v>
      </c>
      <c r="BL233" s="274">
        <v>29.481000000000002</v>
      </c>
      <c r="BM233" s="274">
        <v>30.247</v>
      </c>
      <c r="BN233" s="274">
        <v>30.992999999999999</v>
      </c>
      <c r="BO233" s="274">
        <v>31.727</v>
      </c>
      <c r="BP233" s="274">
        <v>32.43</v>
      </c>
      <c r="BQ233" s="274">
        <v>33.103000000000002</v>
      </c>
      <c r="BR233" s="274">
        <v>33.74</v>
      </c>
      <c r="BS233" s="274">
        <v>34.338999999999999</v>
      </c>
    </row>
    <row r="234" spans="1:71" x14ac:dyDescent="0.4">
      <c r="A234" s="270">
        <v>215</v>
      </c>
      <c r="B234" s="271" t="s">
        <v>890</v>
      </c>
      <c r="C234" s="276" t="s">
        <v>956</v>
      </c>
      <c r="D234" s="273"/>
      <c r="E234" s="273">
        <v>850</v>
      </c>
      <c r="F234" s="274">
        <v>26.795000000000002</v>
      </c>
      <c r="G234" s="274">
        <v>27.295000000000002</v>
      </c>
      <c r="H234" s="274">
        <v>27.974</v>
      </c>
      <c r="I234" s="274">
        <v>28.613</v>
      </c>
      <c r="J234" s="274">
        <v>29.088000000000001</v>
      </c>
      <c r="K234" s="274">
        <v>29.361999999999998</v>
      </c>
      <c r="L234" s="274">
        <v>29.498000000000001</v>
      </c>
      <c r="M234" s="274">
        <v>29.65</v>
      </c>
      <c r="N234" s="274">
        <v>30.045000000000002</v>
      </c>
      <c r="O234" s="274">
        <v>30.96</v>
      </c>
      <c r="P234" s="274">
        <v>32.631999999999998</v>
      </c>
      <c r="Q234" s="274">
        <v>35.177999999999997</v>
      </c>
      <c r="R234" s="274">
        <v>38.512999999999998</v>
      </c>
      <c r="S234" s="274">
        <v>42.314</v>
      </c>
      <c r="T234" s="274">
        <v>46.122</v>
      </c>
      <c r="U234" s="274">
        <v>49.61</v>
      </c>
      <c r="V234" s="274">
        <v>52.624000000000002</v>
      </c>
      <c r="W234" s="274">
        <v>55.277999999999999</v>
      </c>
      <c r="X234" s="274">
        <v>57.831000000000003</v>
      </c>
      <c r="Y234" s="274">
        <v>60.674999999999997</v>
      </c>
      <c r="Z234" s="274">
        <v>64.069999999999993</v>
      </c>
      <c r="AA234" s="274">
        <v>68.102000000000004</v>
      </c>
      <c r="AB234" s="274">
        <v>72.61</v>
      </c>
      <c r="AC234" s="274">
        <v>77.31</v>
      </c>
      <c r="AD234" s="274">
        <v>81.802000000000007</v>
      </c>
      <c r="AE234" s="274">
        <v>85.79</v>
      </c>
      <c r="AF234" s="274">
        <v>89.168999999999997</v>
      </c>
      <c r="AG234" s="274">
        <v>92.007999999999996</v>
      </c>
      <c r="AH234" s="274">
        <v>94.399000000000001</v>
      </c>
      <c r="AI234" s="274">
        <v>96.498000000000005</v>
      </c>
      <c r="AJ234" s="274">
        <v>98.423000000000002</v>
      </c>
      <c r="AK234" s="274">
        <v>100.21599999999999</v>
      </c>
      <c r="AL234" s="274">
        <v>101.827</v>
      </c>
      <c r="AM234" s="274">
        <v>103.17700000000001</v>
      </c>
      <c r="AN234" s="274">
        <v>104.146</v>
      </c>
      <c r="AO234" s="274">
        <v>104.66800000000001</v>
      </c>
      <c r="AP234" s="274">
        <v>104.69799999999999</v>
      </c>
      <c r="AQ234" s="274">
        <v>104.319</v>
      </c>
      <c r="AR234" s="274">
        <v>103.761</v>
      </c>
      <c r="AS234" s="274">
        <v>103.333</v>
      </c>
      <c r="AT234" s="274">
        <v>103.253</v>
      </c>
      <c r="AU234" s="274">
        <v>103.613</v>
      </c>
      <c r="AV234" s="274">
        <v>104.342</v>
      </c>
      <c r="AW234" s="274">
        <v>105.29300000000001</v>
      </c>
      <c r="AX234" s="274">
        <v>106.241</v>
      </c>
      <c r="AY234" s="274">
        <v>107.018</v>
      </c>
      <c r="AZ234" s="274">
        <v>107.589</v>
      </c>
      <c r="BA234" s="274">
        <v>108.002</v>
      </c>
      <c r="BB234" s="274">
        <v>108.271</v>
      </c>
      <c r="BC234" s="274">
        <v>108.431</v>
      </c>
      <c r="BD234" s="274">
        <v>108.511</v>
      </c>
      <c r="BE234" s="274">
        <v>108.509</v>
      </c>
      <c r="BF234" s="274">
        <v>108.417</v>
      </c>
      <c r="BG234" s="274">
        <v>108.25</v>
      </c>
      <c r="BH234" s="274">
        <v>108.02800000000001</v>
      </c>
      <c r="BI234" s="274">
        <v>107.768</v>
      </c>
      <c r="BJ234" s="274">
        <v>107.477</v>
      </c>
      <c r="BK234" s="274">
        <v>107.166</v>
      </c>
      <c r="BL234" s="274">
        <v>106.85899999999999</v>
      </c>
      <c r="BM234" s="274">
        <v>106.59</v>
      </c>
      <c r="BN234" s="274">
        <v>106.38200000000001</v>
      </c>
      <c r="BO234" s="274">
        <v>106.244</v>
      </c>
      <c r="BP234" s="274">
        <v>106.17400000000001</v>
      </c>
      <c r="BQ234" s="274">
        <v>106.166</v>
      </c>
      <c r="BR234" s="274">
        <v>106.208</v>
      </c>
      <c r="BS234" s="274">
        <v>106.291</v>
      </c>
    </row>
    <row r="235" spans="1:71" x14ac:dyDescent="0.4">
      <c r="A235" s="270">
        <v>216</v>
      </c>
      <c r="B235" s="271" t="s">
        <v>890</v>
      </c>
      <c r="C235" s="277" t="s">
        <v>957</v>
      </c>
      <c r="D235" s="273"/>
      <c r="E235" s="273">
        <v>916</v>
      </c>
      <c r="F235" s="274">
        <v>38028.822999999997</v>
      </c>
      <c r="G235" s="274">
        <v>39106.072</v>
      </c>
      <c r="H235" s="274">
        <v>40254.124000000003</v>
      </c>
      <c r="I235" s="274">
        <v>41465.328000000001</v>
      </c>
      <c r="J235" s="274">
        <v>42733.637000000002</v>
      </c>
      <c r="K235" s="274">
        <v>44054.574000000001</v>
      </c>
      <c r="L235" s="274">
        <v>45425.307000000001</v>
      </c>
      <c r="M235" s="274">
        <v>46844.588000000003</v>
      </c>
      <c r="N235" s="274">
        <v>48312.561000000002</v>
      </c>
      <c r="O235" s="274">
        <v>49830.45</v>
      </c>
      <c r="P235" s="274">
        <v>51399.629000000001</v>
      </c>
      <c r="Q235" s="274">
        <v>53020.601999999999</v>
      </c>
      <c r="R235" s="274">
        <v>54692.142</v>
      </c>
      <c r="S235" s="274">
        <v>56410.925000000003</v>
      </c>
      <c r="T235" s="274">
        <v>58172.561000000002</v>
      </c>
      <c r="U235" s="274">
        <v>59974.752</v>
      </c>
      <c r="V235" s="274">
        <v>61811.040999999997</v>
      </c>
      <c r="W235" s="274">
        <v>63683.709000000003</v>
      </c>
      <c r="X235" s="274">
        <v>65609.34</v>
      </c>
      <c r="Y235" s="274">
        <v>67610.722999999998</v>
      </c>
      <c r="Z235" s="274">
        <v>69701.584000000003</v>
      </c>
      <c r="AA235" s="274">
        <v>71887.994000000006</v>
      </c>
      <c r="AB235" s="274">
        <v>74157.047000000006</v>
      </c>
      <c r="AC235" s="274">
        <v>76479.945000000007</v>
      </c>
      <c r="AD235" s="274">
        <v>78816.982999999993</v>
      </c>
      <c r="AE235" s="274">
        <v>81138.248000000007</v>
      </c>
      <c r="AF235" s="274">
        <v>83434.456000000006</v>
      </c>
      <c r="AG235" s="274">
        <v>85709.619000000006</v>
      </c>
      <c r="AH235" s="274">
        <v>87963.676999999996</v>
      </c>
      <c r="AI235" s="274">
        <v>90200.83</v>
      </c>
      <c r="AJ235" s="274">
        <v>92425.092000000004</v>
      </c>
      <c r="AK235" s="274">
        <v>94634.455000000002</v>
      </c>
      <c r="AL235" s="274">
        <v>96828.737999999998</v>
      </c>
      <c r="AM235" s="274">
        <v>99016.97</v>
      </c>
      <c r="AN235" s="274">
        <v>101211.429</v>
      </c>
      <c r="AO235" s="274">
        <v>103422.024</v>
      </c>
      <c r="AP235" s="274">
        <v>105648.95699999999</v>
      </c>
      <c r="AQ235" s="274">
        <v>107892.53599999999</v>
      </c>
      <c r="AR235" s="274">
        <v>110162.43700000001</v>
      </c>
      <c r="AS235" s="274">
        <v>112470.254</v>
      </c>
      <c r="AT235" s="274">
        <v>114822.516</v>
      </c>
      <c r="AU235" s="274">
        <v>117221.321</v>
      </c>
      <c r="AV235" s="274">
        <v>119659.242</v>
      </c>
      <c r="AW235" s="274">
        <v>122120.74400000001</v>
      </c>
      <c r="AX235" s="274">
        <v>124584.43700000001</v>
      </c>
      <c r="AY235" s="274">
        <v>127032.42</v>
      </c>
      <c r="AZ235" s="274">
        <v>129467.989</v>
      </c>
      <c r="BA235" s="274">
        <v>131889.57</v>
      </c>
      <c r="BB235" s="274">
        <v>134269.53099999999</v>
      </c>
      <c r="BC235" s="274">
        <v>136573.182</v>
      </c>
      <c r="BD235" s="274">
        <v>138780.47099999999</v>
      </c>
      <c r="BE235" s="274">
        <v>140871.75599999999</v>
      </c>
      <c r="BF235" s="274">
        <v>142865.68100000001</v>
      </c>
      <c r="BG235" s="274">
        <v>144827.486</v>
      </c>
      <c r="BH235" s="274">
        <v>146847.41200000001</v>
      </c>
      <c r="BI235" s="274">
        <v>148988.54800000001</v>
      </c>
      <c r="BJ235" s="274">
        <v>151275.84099999999</v>
      </c>
      <c r="BK235" s="274">
        <v>153685.53899999999</v>
      </c>
      <c r="BL235" s="274">
        <v>156172.05100000001</v>
      </c>
      <c r="BM235" s="274">
        <v>158666.29300000001</v>
      </c>
      <c r="BN235" s="274">
        <v>161117.09400000001</v>
      </c>
      <c r="BO235" s="274">
        <v>163510.61900000001</v>
      </c>
      <c r="BP235" s="274">
        <v>165859.736</v>
      </c>
      <c r="BQ235" s="274">
        <v>168171.56</v>
      </c>
      <c r="BR235" s="274">
        <v>170461.473</v>
      </c>
      <c r="BS235" s="274">
        <v>172740.07399999999</v>
      </c>
    </row>
    <row r="236" spans="1:71" x14ac:dyDescent="0.4">
      <c r="A236" s="270">
        <v>217</v>
      </c>
      <c r="B236" s="271" t="s">
        <v>890</v>
      </c>
      <c r="C236" s="276" t="s">
        <v>247</v>
      </c>
      <c r="D236" s="273"/>
      <c r="E236" s="273">
        <v>84</v>
      </c>
      <c r="F236" s="274">
        <v>68.918000000000006</v>
      </c>
      <c r="G236" s="274">
        <v>71.242999999999995</v>
      </c>
      <c r="H236" s="274">
        <v>73.427999999999997</v>
      </c>
      <c r="I236" s="274">
        <v>75.554000000000002</v>
      </c>
      <c r="J236" s="274">
        <v>77.686000000000007</v>
      </c>
      <c r="K236" s="274">
        <v>79.872</v>
      </c>
      <c r="L236" s="274">
        <v>82.14</v>
      </c>
      <c r="M236" s="274">
        <v>84.503</v>
      </c>
      <c r="N236" s="274">
        <v>86.956000000000003</v>
      </c>
      <c r="O236" s="274">
        <v>89.483000000000004</v>
      </c>
      <c r="P236" s="274">
        <v>92.067999999999998</v>
      </c>
      <c r="Q236" s="274">
        <v>94.700999999999993</v>
      </c>
      <c r="R236" s="274">
        <v>97.388999999999996</v>
      </c>
      <c r="S236" s="274">
        <v>100.166</v>
      </c>
      <c r="T236" s="274">
        <v>103.07</v>
      </c>
      <c r="U236" s="274">
        <v>106.121</v>
      </c>
      <c r="V236" s="274">
        <v>109.34399999999999</v>
      </c>
      <c r="W236" s="274">
        <v>112.699</v>
      </c>
      <c r="X236" s="274">
        <v>116.06100000000001</v>
      </c>
      <c r="Y236" s="274">
        <v>119.26</v>
      </c>
      <c r="Z236" s="274">
        <v>122.179</v>
      </c>
      <c r="AA236" s="274">
        <v>124.792</v>
      </c>
      <c r="AB236" s="274">
        <v>127.148</v>
      </c>
      <c r="AC236" s="274">
        <v>129.29400000000001</v>
      </c>
      <c r="AD236" s="274">
        <v>131.30600000000001</v>
      </c>
      <c r="AE236" s="274">
        <v>133.261</v>
      </c>
      <c r="AF236" s="274">
        <v>135.14500000000001</v>
      </c>
      <c r="AG236" s="274">
        <v>136.99100000000001</v>
      </c>
      <c r="AH236" s="274">
        <v>138.97200000000001</v>
      </c>
      <c r="AI236" s="274">
        <v>141.30799999999999</v>
      </c>
      <c r="AJ236" s="274">
        <v>144.15100000000001</v>
      </c>
      <c r="AK236" s="274">
        <v>147.566</v>
      </c>
      <c r="AL236" s="274">
        <v>151.49799999999999</v>
      </c>
      <c r="AM236" s="274">
        <v>155.82</v>
      </c>
      <c r="AN236" s="274">
        <v>160.34200000000001</v>
      </c>
      <c r="AO236" s="274">
        <v>164.916</v>
      </c>
      <c r="AP236" s="274">
        <v>169.57</v>
      </c>
      <c r="AQ236" s="274">
        <v>174.32599999999999</v>
      </c>
      <c r="AR236" s="274">
        <v>179.02500000000001</v>
      </c>
      <c r="AS236" s="274">
        <v>183.47</v>
      </c>
      <c r="AT236" s="274">
        <v>187.55199999999999</v>
      </c>
      <c r="AU236" s="274">
        <v>191.12700000000001</v>
      </c>
      <c r="AV236" s="274">
        <v>194.321</v>
      </c>
      <c r="AW236" s="274">
        <v>197.61500000000001</v>
      </c>
      <c r="AX236" s="274">
        <v>201.678</v>
      </c>
      <c r="AY236" s="274">
        <v>206.96199999999999</v>
      </c>
      <c r="AZ236" s="274">
        <v>213.67400000000001</v>
      </c>
      <c r="BA236" s="274">
        <v>221.608</v>
      </c>
      <c r="BB236" s="274">
        <v>230.28899999999999</v>
      </c>
      <c r="BC236" s="274">
        <v>239.024</v>
      </c>
      <c r="BD236" s="274">
        <v>247.31200000000001</v>
      </c>
      <c r="BE236" s="274">
        <v>254.989</v>
      </c>
      <c r="BF236" s="274">
        <v>262.202</v>
      </c>
      <c r="BG236" s="274">
        <v>269.13200000000001</v>
      </c>
      <c r="BH236" s="274">
        <v>276.08499999999998</v>
      </c>
      <c r="BI236" s="274">
        <v>283.279</v>
      </c>
      <c r="BJ236" s="274">
        <v>290.75099999999998</v>
      </c>
      <c r="BK236" s="274">
        <v>298.40300000000002</v>
      </c>
      <c r="BL236" s="274">
        <v>306.16500000000002</v>
      </c>
      <c r="BM236" s="274">
        <v>313.92500000000001</v>
      </c>
      <c r="BN236" s="274">
        <v>321.60899999999998</v>
      </c>
      <c r="BO236" s="274">
        <v>329.19299999999998</v>
      </c>
      <c r="BP236" s="274">
        <v>336.70699999999999</v>
      </c>
      <c r="BQ236" s="274">
        <v>344.19299999999998</v>
      </c>
      <c r="BR236" s="274">
        <v>351.70600000000002</v>
      </c>
      <c r="BS236" s="274">
        <v>359.28699999999998</v>
      </c>
    </row>
    <row r="237" spans="1:71" x14ac:dyDescent="0.4">
      <c r="A237" s="270">
        <v>218</v>
      </c>
      <c r="B237" s="271" t="s">
        <v>890</v>
      </c>
      <c r="C237" s="276" t="s">
        <v>330</v>
      </c>
      <c r="D237" s="273"/>
      <c r="E237" s="273">
        <v>188</v>
      </c>
      <c r="F237" s="274">
        <v>959.48900000000003</v>
      </c>
      <c r="G237" s="274">
        <v>986.15899999999999</v>
      </c>
      <c r="H237" s="274">
        <v>1015.875</v>
      </c>
      <c r="I237" s="274">
        <v>1048.222</v>
      </c>
      <c r="J237" s="274">
        <v>1082.8789999999999</v>
      </c>
      <c r="K237" s="274">
        <v>1119.6189999999999</v>
      </c>
      <c r="L237" s="274">
        <v>1158.318</v>
      </c>
      <c r="M237" s="274">
        <v>1198.9459999999999</v>
      </c>
      <c r="N237" s="274">
        <v>1241.55</v>
      </c>
      <c r="O237" s="274">
        <v>1286.229</v>
      </c>
      <c r="P237" s="274">
        <v>1333.0419999999999</v>
      </c>
      <c r="Q237" s="274">
        <v>1381.92</v>
      </c>
      <c r="R237" s="274">
        <v>1432.5830000000001</v>
      </c>
      <c r="S237" s="274">
        <v>1484.5119999999999</v>
      </c>
      <c r="T237" s="274">
        <v>1537.0350000000001</v>
      </c>
      <c r="U237" s="274">
        <v>1589.625</v>
      </c>
      <c r="V237" s="274">
        <v>1642.1890000000001</v>
      </c>
      <c r="W237" s="274">
        <v>1694.711</v>
      </c>
      <c r="X237" s="274">
        <v>1746.87</v>
      </c>
      <c r="Y237" s="274">
        <v>1798.3150000000001</v>
      </c>
      <c r="Z237" s="274">
        <v>1848.873</v>
      </c>
      <c r="AA237" s="274">
        <v>1898.366</v>
      </c>
      <c r="AB237" s="274">
        <v>1947.048</v>
      </c>
      <c r="AC237" s="274">
        <v>1995.7439999999999</v>
      </c>
      <c r="AD237" s="274">
        <v>2045.58</v>
      </c>
      <c r="AE237" s="274">
        <v>2097.41</v>
      </c>
      <c r="AF237" s="274">
        <v>2151.4920000000002</v>
      </c>
      <c r="AG237" s="274">
        <v>2207.7269999999999</v>
      </c>
      <c r="AH237" s="274">
        <v>2266.1529999999998</v>
      </c>
      <c r="AI237" s="274">
        <v>2326.7080000000001</v>
      </c>
      <c r="AJ237" s="274">
        <v>2389.3090000000002</v>
      </c>
      <c r="AK237" s="274">
        <v>2454.127</v>
      </c>
      <c r="AL237" s="274">
        <v>2521.163</v>
      </c>
      <c r="AM237" s="274">
        <v>2589.9319999999998</v>
      </c>
      <c r="AN237" s="274">
        <v>2659.7719999999999</v>
      </c>
      <c r="AO237" s="274">
        <v>2730.2310000000002</v>
      </c>
      <c r="AP237" s="274">
        <v>2800.9859999999999</v>
      </c>
      <c r="AQ237" s="274">
        <v>2872.2139999999999</v>
      </c>
      <c r="AR237" s="274">
        <v>2944.56</v>
      </c>
      <c r="AS237" s="274">
        <v>3018.953</v>
      </c>
      <c r="AT237" s="274">
        <v>3095.9940000000001</v>
      </c>
      <c r="AU237" s="274">
        <v>3175.654</v>
      </c>
      <c r="AV237" s="274">
        <v>3257.4630000000002</v>
      </c>
      <c r="AW237" s="274">
        <v>3341.0050000000001</v>
      </c>
      <c r="AX237" s="274">
        <v>3425.692</v>
      </c>
      <c r="AY237" s="274">
        <v>3510.9250000000002</v>
      </c>
      <c r="AZ237" s="274">
        <v>3596.7330000000002</v>
      </c>
      <c r="BA237" s="274">
        <v>3682.7249999999999</v>
      </c>
      <c r="BB237" s="274">
        <v>3767.3690000000001</v>
      </c>
      <c r="BC237" s="274">
        <v>3848.7249999999999</v>
      </c>
      <c r="BD237" s="274">
        <v>3925.45</v>
      </c>
      <c r="BE237" s="274">
        <v>3996.8</v>
      </c>
      <c r="BF237" s="274">
        <v>4063.2080000000001</v>
      </c>
      <c r="BG237" s="274">
        <v>4125.97</v>
      </c>
      <c r="BH237" s="274">
        <v>4187.0389999999998</v>
      </c>
      <c r="BI237" s="274">
        <v>4247.8429999999998</v>
      </c>
      <c r="BJ237" s="274">
        <v>4308.79</v>
      </c>
      <c r="BK237" s="274">
        <v>4369.4650000000001</v>
      </c>
      <c r="BL237" s="274">
        <v>4429.5060000000003</v>
      </c>
      <c r="BM237" s="274">
        <v>4488.2610000000004</v>
      </c>
      <c r="BN237" s="274">
        <v>4545.2730000000001</v>
      </c>
      <c r="BO237" s="274">
        <v>4600.4870000000001</v>
      </c>
      <c r="BP237" s="274">
        <v>4654.1480000000001</v>
      </c>
      <c r="BQ237" s="274">
        <v>4706.433</v>
      </c>
      <c r="BR237" s="274">
        <v>4757.6059999999998</v>
      </c>
      <c r="BS237" s="274">
        <v>4807.8500000000004</v>
      </c>
    </row>
    <row r="238" spans="1:71" x14ac:dyDescent="0.4">
      <c r="A238" s="270">
        <v>219</v>
      </c>
      <c r="B238" s="271" t="s">
        <v>890</v>
      </c>
      <c r="C238" s="276" t="s">
        <v>381</v>
      </c>
      <c r="D238" s="273"/>
      <c r="E238" s="273">
        <v>222</v>
      </c>
      <c r="F238" s="274">
        <v>2199.8969999999999</v>
      </c>
      <c r="G238" s="274">
        <v>2236.5770000000002</v>
      </c>
      <c r="H238" s="274">
        <v>2278.3049999999998</v>
      </c>
      <c r="I238" s="274">
        <v>2324.558</v>
      </c>
      <c r="J238" s="274">
        <v>2374.9720000000002</v>
      </c>
      <c r="K238" s="274">
        <v>2429.3310000000001</v>
      </c>
      <c r="L238" s="274">
        <v>2487.5819999999999</v>
      </c>
      <c r="M238" s="274">
        <v>2549.8229999999999</v>
      </c>
      <c r="N238" s="274">
        <v>2616.2759999999998</v>
      </c>
      <c r="O238" s="274">
        <v>2687.2289999999998</v>
      </c>
      <c r="P238" s="274">
        <v>2762.8969999999999</v>
      </c>
      <c r="Q238" s="274">
        <v>2843.2460000000001</v>
      </c>
      <c r="R238" s="274">
        <v>2927.8609999999999</v>
      </c>
      <c r="S238" s="274">
        <v>3015.8850000000002</v>
      </c>
      <c r="T238" s="274">
        <v>3106.1860000000001</v>
      </c>
      <c r="U238" s="274">
        <v>3197.8649999999998</v>
      </c>
      <c r="V238" s="274">
        <v>3290.3969999999999</v>
      </c>
      <c r="W238" s="274">
        <v>3383.674</v>
      </c>
      <c r="X238" s="274">
        <v>3477.7020000000002</v>
      </c>
      <c r="Y238" s="274">
        <v>3572.6669999999999</v>
      </c>
      <c r="Z238" s="274">
        <v>3668.5920000000001</v>
      </c>
      <c r="AA238" s="274">
        <v>3765.252</v>
      </c>
      <c r="AB238" s="274">
        <v>3862.1320000000001</v>
      </c>
      <c r="AC238" s="274">
        <v>3958.616</v>
      </c>
      <c r="AD238" s="274">
        <v>4053.9580000000001</v>
      </c>
      <c r="AE238" s="274">
        <v>4147.5249999999996</v>
      </c>
      <c r="AF238" s="274">
        <v>4239.2049999999999</v>
      </c>
      <c r="AG238" s="274">
        <v>4328.817</v>
      </c>
      <c r="AH238" s="274">
        <v>4415.625</v>
      </c>
      <c r="AI238" s="274">
        <v>4498.7569999999996</v>
      </c>
      <c r="AJ238" s="274">
        <v>4577.683</v>
      </c>
      <c r="AK238" s="274">
        <v>4652.058</v>
      </c>
      <c r="AL238" s="274">
        <v>4722.2719999999999</v>
      </c>
      <c r="AM238" s="274">
        <v>4789.4719999999998</v>
      </c>
      <c r="AN238" s="274">
        <v>4855.28</v>
      </c>
      <c r="AO238" s="274">
        <v>4920.9319999999998</v>
      </c>
      <c r="AP238" s="274">
        <v>4986.5280000000002</v>
      </c>
      <c r="AQ238" s="274">
        <v>5051.8850000000002</v>
      </c>
      <c r="AR238" s="274">
        <v>5117.5770000000002</v>
      </c>
      <c r="AS238" s="274">
        <v>5184.2209999999995</v>
      </c>
      <c r="AT238" s="274">
        <v>5252.0820000000003</v>
      </c>
      <c r="AU238" s="274">
        <v>5321.576</v>
      </c>
      <c r="AV238" s="274">
        <v>5392.1419999999998</v>
      </c>
      <c r="AW238" s="274">
        <v>5461.8339999999998</v>
      </c>
      <c r="AX238" s="274">
        <v>5528.0119999999997</v>
      </c>
      <c r="AY238" s="274">
        <v>5588.7430000000004</v>
      </c>
      <c r="AZ238" s="274">
        <v>5643.3630000000003</v>
      </c>
      <c r="BA238" s="274">
        <v>5692.3</v>
      </c>
      <c r="BB238" s="274">
        <v>5736.0749999999998</v>
      </c>
      <c r="BC238" s="274">
        <v>5775.66</v>
      </c>
      <c r="BD238" s="274">
        <v>5811.8360000000002</v>
      </c>
      <c r="BE238" s="274">
        <v>5844.7380000000003</v>
      </c>
      <c r="BF238" s="274">
        <v>5874.3010000000004</v>
      </c>
      <c r="BG238" s="274">
        <v>5900.9290000000001</v>
      </c>
      <c r="BH238" s="274">
        <v>5925.0889999999999</v>
      </c>
      <c r="BI238" s="274">
        <v>5947.2060000000001</v>
      </c>
      <c r="BJ238" s="274">
        <v>5967.5559999999996</v>
      </c>
      <c r="BK238" s="274">
        <v>5986.4139999999998</v>
      </c>
      <c r="BL238" s="274">
        <v>6004.1989999999996</v>
      </c>
      <c r="BM238" s="274">
        <v>6021.3680000000004</v>
      </c>
      <c r="BN238" s="274">
        <v>6038.3059999999996</v>
      </c>
      <c r="BO238" s="274">
        <v>6055.2079999999996</v>
      </c>
      <c r="BP238" s="274">
        <v>6072.2330000000002</v>
      </c>
      <c r="BQ238" s="274">
        <v>6089.6440000000002</v>
      </c>
      <c r="BR238" s="274">
        <v>6107.7060000000001</v>
      </c>
      <c r="BS238" s="274">
        <v>6126.5829999999996</v>
      </c>
    </row>
    <row r="239" spans="1:71" x14ac:dyDescent="0.4">
      <c r="A239" s="270">
        <v>220</v>
      </c>
      <c r="B239" s="271" t="s">
        <v>890</v>
      </c>
      <c r="C239" s="276" t="s">
        <v>428</v>
      </c>
      <c r="D239" s="273"/>
      <c r="E239" s="273">
        <v>320</v>
      </c>
      <c r="F239" s="274">
        <v>3146.0729999999999</v>
      </c>
      <c r="G239" s="274">
        <v>3237.922</v>
      </c>
      <c r="H239" s="274">
        <v>3330.5479999999998</v>
      </c>
      <c r="I239" s="274">
        <v>3424.05</v>
      </c>
      <c r="J239" s="274">
        <v>3518.6080000000002</v>
      </c>
      <c r="K239" s="274">
        <v>3614.4769999999999</v>
      </c>
      <c r="L239" s="274">
        <v>3711.9949999999999</v>
      </c>
      <c r="M239" s="274">
        <v>3811.5770000000002</v>
      </c>
      <c r="N239" s="274">
        <v>3913.6979999999999</v>
      </c>
      <c r="O239" s="274">
        <v>4018.87</v>
      </c>
      <c r="P239" s="274">
        <v>4127.5550000000003</v>
      </c>
      <c r="Q239" s="274">
        <v>4240.0839999999998</v>
      </c>
      <c r="R239" s="274">
        <v>4356.5789999999997</v>
      </c>
      <c r="S239" s="274">
        <v>4476.9229999999998</v>
      </c>
      <c r="T239" s="274">
        <v>4600.8459999999995</v>
      </c>
      <c r="U239" s="274">
        <v>4728.2030000000004</v>
      </c>
      <c r="V239" s="274">
        <v>4858.88</v>
      </c>
      <c r="W239" s="274">
        <v>4993.1040000000003</v>
      </c>
      <c r="X239" s="274">
        <v>5131.4610000000002</v>
      </c>
      <c r="Y239" s="274">
        <v>5274.7259999999997</v>
      </c>
      <c r="Z239" s="274">
        <v>5423.384</v>
      </c>
      <c r="AA239" s="274">
        <v>5577.8239999999996</v>
      </c>
      <c r="AB239" s="274">
        <v>5737.72</v>
      </c>
      <c r="AC239" s="274">
        <v>5901.98</v>
      </c>
      <c r="AD239" s="274">
        <v>6069.0770000000002</v>
      </c>
      <c r="AE239" s="274">
        <v>6237.9629999999997</v>
      </c>
      <c r="AF239" s="274">
        <v>6408.0290000000005</v>
      </c>
      <c r="AG239" s="274">
        <v>6579.71</v>
      </c>
      <c r="AH239" s="274">
        <v>6754.2579999999998</v>
      </c>
      <c r="AI239" s="274">
        <v>6933.4920000000002</v>
      </c>
      <c r="AJ239" s="274">
        <v>7118.6279999999997</v>
      </c>
      <c r="AK239" s="274">
        <v>7310.3969999999999</v>
      </c>
      <c r="AL239" s="274">
        <v>7508.1610000000001</v>
      </c>
      <c r="AM239" s="274">
        <v>7710.1419999999998</v>
      </c>
      <c r="AN239" s="274">
        <v>7913.8140000000003</v>
      </c>
      <c r="AO239" s="274">
        <v>8117.4989999999998</v>
      </c>
      <c r="AP239" s="274">
        <v>8320.4979999999996</v>
      </c>
      <c r="AQ239" s="274">
        <v>8523.7849999999999</v>
      </c>
      <c r="AR239" s="274">
        <v>8729.4060000000009</v>
      </c>
      <c r="AS239" s="274">
        <v>8940.2849999999999</v>
      </c>
      <c r="AT239" s="274">
        <v>9158.5470000000005</v>
      </c>
      <c r="AU239" s="274">
        <v>9385</v>
      </c>
      <c r="AV239" s="274">
        <v>9619.1129999999994</v>
      </c>
      <c r="AW239" s="274">
        <v>9860.0630000000001</v>
      </c>
      <c r="AX239" s="274">
        <v>10106.463</v>
      </c>
      <c r="AY239" s="274">
        <v>10357.353999999999</v>
      </c>
      <c r="AZ239" s="274">
        <v>10612.3</v>
      </c>
      <c r="BA239" s="274">
        <v>10871.786</v>
      </c>
      <c r="BB239" s="274">
        <v>11136.814</v>
      </c>
      <c r="BC239" s="274">
        <v>11408.815000000001</v>
      </c>
      <c r="BD239" s="274">
        <v>11688.66</v>
      </c>
      <c r="BE239" s="274">
        <v>11976.725</v>
      </c>
      <c r="BF239" s="274">
        <v>12272.208000000001</v>
      </c>
      <c r="BG239" s="274">
        <v>12573.346</v>
      </c>
      <c r="BH239" s="274">
        <v>12877.710999999999</v>
      </c>
      <c r="BI239" s="274">
        <v>13183.504999999999</v>
      </c>
      <c r="BJ239" s="274">
        <v>13490.040999999999</v>
      </c>
      <c r="BK239" s="274">
        <v>13797.629000000001</v>
      </c>
      <c r="BL239" s="274">
        <v>14106.687</v>
      </c>
      <c r="BM239" s="274">
        <v>14418.032999999999</v>
      </c>
      <c r="BN239" s="274">
        <v>14732.261</v>
      </c>
      <c r="BO239" s="274">
        <v>15049.28</v>
      </c>
      <c r="BP239" s="274">
        <v>15368.759</v>
      </c>
      <c r="BQ239" s="274">
        <v>15690.793</v>
      </c>
      <c r="BR239" s="274">
        <v>16015.494000000001</v>
      </c>
      <c r="BS239" s="274">
        <v>16342.897000000001</v>
      </c>
    </row>
    <row r="240" spans="1:71" x14ac:dyDescent="0.4">
      <c r="A240" s="270">
        <v>221</v>
      </c>
      <c r="B240" s="271" t="s">
        <v>890</v>
      </c>
      <c r="C240" s="276" t="s">
        <v>446</v>
      </c>
      <c r="D240" s="273"/>
      <c r="E240" s="273">
        <v>340</v>
      </c>
      <c r="F240" s="274">
        <v>1487.2349999999999</v>
      </c>
      <c r="G240" s="274">
        <v>1524.9739999999999</v>
      </c>
      <c r="H240" s="274">
        <v>1568.424</v>
      </c>
      <c r="I240" s="274">
        <v>1615.739</v>
      </c>
      <c r="J240" s="274">
        <v>1665.566</v>
      </c>
      <c r="K240" s="274">
        <v>1717.0450000000001</v>
      </c>
      <c r="L240" s="274">
        <v>1769.8340000000001</v>
      </c>
      <c r="M240" s="274">
        <v>1824.0809999999999</v>
      </c>
      <c r="N240" s="274">
        <v>1880.356</v>
      </c>
      <c r="O240" s="274">
        <v>1939.5160000000001</v>
      </c>
      <c r="P240" s="274">
        <v>2002.3330000000001</v>
      </c>
      <c r="Q240" s="274">
        <v>2069.085</v>
      </c>
      <c r="R240" s="274">
        <v>2139.2080000000001</v>
      </c>
      <c r="S240" s="274">
        <v>2211.1439999999998</v>
      </c>
      <c r="T240" s="274">
        <v>2282.7640000000001</v>
      </c>
      <c r="U240" s="274">
        <v>2352.6370000000002</v>
      </c>
      <c r="V240" s="274">
        <v>2420.2339999999999</v>
      </c>
      <c r="W240" s="274">
        <v>2486.288</v>
      </c>
      <c r="X240" s="274">
        <v>2552.1999999999998</v>
      </c>
      <c r="Y240" s="274">
        <v>2620.0140000000001</v>
      </c>
      <c r="Z240" s="274">
        <v>2691.3090000000002</v>
      </c>
      <c r="AA240" s="274">
        <v>2766.444</v>
      </c>
      <c r="AB240" s="274">
        <v>2845.26</v>
      </c>
      <c r="AC240" s="274">
        <v>2928.19</v>
      </c>
      <c r="AD240" s="274">
        <v>3015.6060000000002</v>
      </c>
      <c r="AE240" s="274">
        <v>3107.7350000000001</v>
      </c>
      <c r="AF240" s="274">
        <v>3204.8829999999998</v>
      </c>
      <c r="AG240" s="274">
        <v>3306.9879999999998</v>
      </c>
      <c r="AH240" s="274">
        <v>3413.4259999999999</v>
      </c>
      <c r="AI240" s="274">
        <v>3523.2829999999999</v>
      </c>
      <c r="AJ240" s="274">
        <v>3635.8620000000001</v>
      </c>
      <c r="AK240" s="274">
        <v>3750.8429999999998</v>
      </c>
      <c r="AL240" s="274">
        <v>3868.2959999999998</v>
      </c>
      <c r="AM240" s="274">
        <v>3988.3710000000001</v>
      </c>
      <c r="AN240" s="274">
        <v>4111.3689999999997</v>
      </c>
      <c r="AO240" s="274">
        <v>4237.4359999999997</v>
      </c>
      <c r="AP240" s="274">
        <v>4366.4009999999998</v>
      </c>
      <c r="AQ240" s="274">
        <v>4497.875</v>
      </c>
      <c r="AR240" s="274">
        <v>4631.491</v>
      </c>
      <c r="AS240" s="274">
        <v>4766.8019999999997</v>
      </c>
      <c r="AT240" s="274">
        <v>4903.3630000000003</v>
      </c>
      <c r="AU240" s="274">
        <v>5041.05</v>
      </c>
      <c r="AV240" s="274">
        <v>5179.5569999999998</v>
      </c>
      <c r="AW240" s="274">
        <v>5318.0420000000004</v>
      </c>
      <c r="AX240" s="274">
        <v>5455.4809999999998</v>
      </c>
      <c r="AY240" s="274">
        <v>5591.1360000000004</v>
      </c>
      <c r="AZ240" s="274">
        <v>5724.5870000000004</v>
      </c>
      <c r="BA240" s="274">
        <v>5855.9459999999999</v>
      </c>
      <c r="BB240" s="274">
        <v>5985.6750000000002</v>
      </c>
      <c r="BC240" s="274">
        <v>6114.5339999999997</v>
      </c>
      <c r="BD240" s="274">
        <v>6243.08</v>
      </c>
      <c r="BE240" s="274">
        <v>6371.3040000000001</v>
      </c>
      <c r="BF240" s="274">
        <v>6499.0010000000002</v>
      </c>
      <c r="BG240" s="274">
        <v>6626.3040000000001</v>
      </c>
      <c r="BH240" s="274">
        <v>6753.3519999999999</v>
      </c>
      <c r="BI240" s="274">
        <v>6880.1809999999996</v>
      </c>
      <c r="BJ240" s="274">
        <v>7007.0290000000005</v>
      </c>
      <c r="BK240" s="274">
        <v>7133.7370000000001</v>
      </c>
      <c r="BL240" s="274">
        <v>7259.47</v>
      </c>
      <c r="BM240" s="274">
        <v>7383.098</v>
      </c>
      <c r="BN240" s="274">
        <v>7503.875</v>
      </c>
      <c r="BO240" s="274">
        <v>7621.4139999999998</v>
      </c>
      <c r="BP240" s="274">
        <v>7736.1310000000003</v>
      </c>
      <c r="BQ240" s="274">
        <v>7849.0590000000002</v>
      </c>
      <c r="BR240" s="274">
        <v>7961.68</v>
      </c>
      <c r="BS240" s="274">
        <v>8075.06</v>
      </c>
    </row>
    <row r="241" spans="1:71" x14ac:dyDescent="0.4">
      <c r="A241" s="270">
        <v>222</v>
      </c>
      <c r="B241" s="271" t="s">
        <v>890</v>
      </c>
      <c r="C241" s="276" t="s">
        <v>578</v>
      </c>
      <c r="D241" s="273"/>
      <c r="E241" s="273">
        <v>484</v>
      </c>
      <c r="F241" s="274">
        <v>28012.558000000001</v>
      </c>
      <c r="G241" s="274">
        <v>28836.111000000001</v>
      </c>
      <c r="H241" s="274">
        <v>29711.632000000001</v>
      </c>
      <c r="I241" s="274">
        <v>30634.216</v>
      </c>
      <c r="J241" s="274">
        <v>31599.804</v>
      </c>
      <c r="K241" s="274">
        <v>32605.178</v>
      </c>
      <c r="L241" s="274">
        <v>33647.985999999997</v>
      </c>
      <c r="M241" s="274">
        <v>34726.718999999997</v>
      </c>
      <c r="N241" s="274">
        <v>35840.644999999997</v>
      </c>
      <c r="O241" s="274">
        <v>36989.692000000003</v>
      </c>
      <c r="P241" s="274">
        <v>38174.114000000001</v>
      </c>
      <c r="Q241" s="274">
        <v>39394.125</v>
      </c>
      <c r="R241" s="274">
        <v>40649.589999999997</v>
      </c>
      <c r="S241" s="274">
        <v>41939.879999999997</v>
      </c>
      <c r="T241" s="274">
        <v>43264.267</v>
      </c>
      <c r="U241" s="274">
        <v>44623.040999999997</v>
      </c>
      <c r="V241" s="274">
        <v>46010.959000000003</v>
      </c>
      <c r="W241" s="274">
        <v>47429.553</v>
      </c>
      <c r="X241" s="274">
        <v>48893.607000000004</v>
      </c>
      <c r="Y241" s="274">
        <v>50423.127</v>
      </c>
      <c r="Z241" s="274">
        <v>52029.858999999997</v>
      </c>
      <c r="AA241" s="274">
        <v>53719.546999999999</v>
      </c>
      <c r="AB241" s="274">
        <v>55480.125</v>
      </c>
      <c r="AC241" s="274">
        <v>57283.360999999997</v>
      </c>
      <c r="AD241" s="274">
        <v>59090.495000000003</v>
      </c>
      <c r="AE241" s="274">
        <v>60872.398999999998</v>
      </c>
      <c r="AF241" s="274">
        <v>62620.087</v>
      </c>
      <c r="AG241" s="274">
        <v>64337.694000000003</v>
      </c>
      <c r="AH241" s="274">
        <v>66025.612999999998</v>
      </c>
      <c r="AI241" s="274">
        <v>67688.532999999996</v>
      </c>
      <c r="AJ241" s="274">
        <v>69330.974000000002</v>
      </c>
      <c r="AK241" s="274">
        <v>70950.740999999995</v>
      </c>
      <c r="AL241" s="274">
        <v>72547.994999999995</v>
      </c>
      <c r="AM241" s="274">
        <v>74133.376999999993</v>
      </c>
      <c r="AN241" s="274">
        <v>75721.210000000006</v>
      </c>
      <c r="AO241" s="274">
        <v>77322.642999999996</v>
      </c>
      <c r="AP241" s="274">
        <v>78939.441000000006</v>
      </c>
      <c r="AQ241" s="274">
        <v>80571.066999999995</v>
      </c>
      <c r="AR241" s="274">
        <v>82223.153000000006</v>
      </c>
      <c r="AS241" s="274">
        <v>83901.642999999996</v>
      </c>
      <c r="AT241" s="274">
        <v>85609.403999999995</v>
      </c>
      <c r="AU241" s="274">
        <v>87347.207999999999</v>
      </c>
      <c r="AV241" s="274">
        <v>89110.043000000005</v>
      </c>
      <c r="AW241" s="274">
        <v>90887.096999999994</v>
      </c>
      <c r="AX241" s="274">
        <v>92663.664000000004</v>
      </c>
      <c r="AY241" s="274">
        <v>94426.945999999996</v>
      </c>
      <c r="AZ241" s="274">
        <v>96181.71</v>
      </c>
      <c r="BA241" s="274">
        <v>97925.824999999997</v>
      </c>
      <c r="BB241" s="274">
        <v>99632.298999999999</v>
      </c>
      <c r="BC241" s="274">
        <v>101266.57</v>
      </c>
      <c r="BD241" s="274">
        <v>102808.59</v>
      </c>
      <c r="BE241" s="274">
        <v>104239.56299999999</v>
      </c>
      <c r="BF241" s="274">
        <v>105578.29700000001</v>
      </c>
      <c r="BG241" s="274">
        <v>106888.41800000001</v>
      </c>
      <c r="BH241" s="274">
        <v>108257.822</v>
      </c>
      <c r="BI241" s="274">
        <v>109747.906</v>
      </c>
      <c r="BJ241" s="274">
        <v>111382.857</v>
      </c>
      <c r="BK241" s="274">
        <v>113139.374</v>
      </c>
      <c r="BL241" s="274">
        <v>114972.821</v>
      </c>
      <c r="BM241" s="274">
        <v>116815.61199999999</v>
      </c>
      <c r="BN241" s="274">
        <v>118617.542</v>
      </c>
      <c r="BO241" s="274">
        <v>120365.27099999999</v>
      </c>
      <c r="BP241" s="274">
        <v>122070.963</v>
      </c>
      <c r="BQ241" s="274">
        <v>123740.109</v>
      </c>
      <c r="BR241" s="274">
        <v>125385.833</v>
      </c>
      <c r="BS241" s="274">
        <v>127017.224</v>
      </c>
    </row>
    <row r="242" spans="1:71" x14ac:dyDescent="0.4">
      <c r="A242" s="270">
        <v>223</v>
      </c>
      <c r="B242" s="271" t="s">
        <v>890</v>
      </c>
      <c r="C242" s="276" t="s">
        <v>618</v>
      </c>
      <c r="D242" s="273"/>
      <c r="E242" s="273">
        <v>558</v>
      </c>
      <c r="F242" s="274">
        <v>1294.9929999999999</v>
      </c>
      <c r="G242" s="274">
        <v>1331.74</v>
      </c>
      <c r="H242" s="274">
        <v>1371.5250000000001</v>
      </c>
      <c r="I242" s="274">
        <v>1414.2760000000001</v>
      </c>
      <c r="J242" s="274">
        <v>1459.85</v>
      </c>
      <c r="K242" s="274">
        <v>1508.02</v>
      </c>
      <c r="L242" s="274">
        <v>1558.473</v>
      </c>
      <c r="M242" s="274">
        <v>1610.819</v>
      </c>
      <c r="N242" s="274">
        <v>1664.607</v>
      </c>
      <c r="O242" s="274">
        <v>1719.364</v>
      </c>
      <c r="P242" s="274">
        <v>1774.6959999999999</v>
      </c>
      <c r="Q242" s="274">
        <v>1830.4</v>
      </c>
      <c r="R242" s="274">
        <v>1886.56</v>
      </c>
      <c r="S242" s="274">
        <v>1943.5909999999999</v>
      </c>
      <c r="T242" s="274">
        <v>2002.1189999999999</v>
      </c>
      <c r="U242" s="274">
        <v>2062.6329999999998</v>
      </c>
      <c r="V242" s="274">
        <v>2125.2330000000002</v>
      </c>
      <c r="W242" s="274">
        <v>2189.88</v>
      </c>
      <c r="X242" s="274">
        <v>2256.779</v>
      </c>
      <c r="Y242" s="274">
        <v>2326.136</v>
      </c>
      <c r="Z242" s="274">
        <v>2398.0949999999998</v>
      </c>
      <c r="AA242" s="274">
        <v>2472.6559999999999</v>
      </c>
      <c r="AB242" s="274">
        <v>2549.779</v>
      </c>
      <c r="AC242" s="274">
        <v>2629.5030000000002</v>
      </c>
      <c r="AD242" s="274">
        <v>2711.8470000000002</v>
      </c>
      <c r="AE242" s="274">
        <v>2796.748</v>
      </c>
      <c r="AF242" s="274">
        <v>2884.1559999999999</v>
      </c>
      <c r="AG242" s="274">
        <v>2973.8049999999998</v>
      </c>
      <c r="AH242" s="274">
        <v>3065.1179999999999</v>
      </c>
      <c r="AI242" s="274">
        <v>3157.3560000000002</v>
      </c>
      <c r="AJ242" s="274">
        <v>3249.91</v>
      </c>
      <c r="AK242" s="274">
        <v>3342.6660000000002</v>
      </c>
      <c r="AL242" s="274">
        <v>3435.527</v>
      </c>
      <c r="AM242" s="274">
        <v>3527.9349999999999</v>
      </c>
      <c r="AN242" s="274">
        <v>3619.252</v>
      </c>
      <c r="AO242" s="274">
        <v>3709.0909999999999</v>
      </c>
      <c r="AP242" s="274">
        <v>3796.9140000000002</v>
      </c>
      <c r="AQ242" s="274">
        <v>3882.94</v>
      </c>
      <c r="AR242" s="274">
        <v>3968.453</v>
      </c>
      <c r="AS242" s="274">
        <v>4055.2620000000002</v>
      </c>
      <c r="AT242" s="274">
        <v>4144.5640000000003</v>
      </c>
      <c r="AU242" s="274">
        <v>4236.8050000000003</v>
      </c>
      <c r="AV242" s="274">
        <v>4331.2730000000001</v>
      </c>
      <c r="AW242" s="274">
        <v>4426.5770000000002</v>
      </c>
      <c r="AX242" s="274">
        <v>4520.7269999999999</v>
      </c>
      <c r="AY242" s="274">
        <v>4612.2290000000003</v>
      </c>
      <c r="AZ242" s="274">
        <v>4700.777</v>
      </c>
      <c r="BA242" s="274">
        <v>4786.6409999999996</v>
      </c>
      <c r="BB242" s="274">
        <v>4869.6270000000004</v>
      </c>
      <c r="BC242" s="274">
        <v>4949.6610000000001</v>
      </c>
      <c r="BD242" s="274">
        <v>5026.7920000000004</v>
      </c>
      <c r="BE242" s="274">
        <v>5100.75</v>
      </c>
      <c r="BF242" s="274">
        <v>5171.7359999999999</v>
      </c>
      <c r="BG242" s="274">
        <v>5240.8760000000002</v>
      </c>
      <c r="BH242" s="274">
        <v>5309.7030000000004</v>
      </c>
      <c r="BI242" s="274">
        <v>5379.3270000000002</v>
      </c>
      <c r="BJ242" s="274">
        <v>5450.2169999999996</v>
      </c>
      <c r="BK242" s="274">
        <v>5522.1189999999997</v>
      </c>
      <c r="BL242" s="274">
        <v>5594.5240000000003</v>
      </c>
      <c r="BM242" s="274">
        <v>5666.5950000000003</v>
      </c>
      <c r="BN242" s="274">
        <v>5737.7219999999998</v>
      </c>
      <c r="BO242" s="274">
        <v>5807.7870000000003</v>
      </c>
      <c r="BP242" s="274">
        <v>5877.0339999999997</v>
      </c>
      <c r="BQ242" s="274">
        <v>5945.6459999999997</v>
      </c>
      <c r="BR242" s="274">
        <v>6013.9129999999996</v>
      </c>
      <c r="BS242" s="274">
        <v>6082.0320000000002</v>
      </c>
    </row>
    <row r="243" spans="1:71" x14ac:dyDescent="0.4">
      <c r="A243" s="270">
        <v>224</v>
      </c>
      <c r="B243" s="271" t="s">
        <v>890</v>
      </c>
      <c r="C243" s="276" t="s">
        <v>644</v>
      </c>
      <c r="D243" s="273"/>
      <c r="E243" s="273">
        <v>591</v>
      </c>
      <c r="F243" s="274">
        <v>859.66</v>
      </c>
      <c r="G243" s="274">
        <v>881.346</v>
      </c>
      <c r="H243" s="274">
        <v>904.38699999999994</v>
      </c>
      <c r="I243" s="274">
        <v>928.71299999999997</v>
      </c>
      <c r="J243" s="274">
        <v>954.27200000000005</v>
      </c>
      <c r="K243" s="274">
        <v>981.03200000000004</v>
      </c>
      <c r="L243" s="274">
        <v>1008.979</v>
      </c>
      <c r="M243" s="274">
        <v>1038.1199999999999</v>
      </c>
      <c r="N243" s="274">
        <v>1068.473</v>
      </c>
      <c r="O243" s="274">
        <v>1100.067</v>
      </c>
      <c r="P243" s="274">
        <v>1132.924</v>
      </c>
      <c r="Q243" s="274">
        <v>1167.0409999999999</v>
      </c>
      <c r="R243" s="274">
        <v>1202.3720000000001</v>
      </c>
      <c r="S243" s="274">
        <v>1238.8240000000001</v>
      </c>
      <c r="T243" s="274">
        <v>1276.2739999999999</v>
      </c>
      <c r="U243" s="274">
        <v>1314.627</v>
      </c>
      <c r="V243" s="274">
        <v>1353.8050000000001</v>
      </c>
      <c r="W243" s="274">
        <v>1393.8</v>
      </c>
      <c r="X243" s="274">
        <v>1434.66</v>
      </c>
      <c r="Y243" s="274">
        <v>1476.4780000000001</v>
      </c>
      <c r="Z243" s="274">
        <v>1519.2929999999999</v>
      </c>
      <c r="AA243" s="274">
        <v>1563.1130000000001</v>
      </c>
      <c r="AB243" s="274">
        <v>1607.835</v>
      </c>
      <c r="AC243" s="274">
        <v>1653.2570000000001</v>
      </c>
      <c r="AD243" s="274">
        <v>1699.114</v>
      </c>
      <c r="AE243" s="274">
        <v>1745.2070000000001</v>
      </c>
      <c r="AF243" s="274">
        <v>1791.4590000000001</v>
      </c>
      <c r="AG243" s="274">
        <v>1837.8869999999999</v>
      </c>
      <c r="AH243" s="274">
        <v>1884.5119999999999</v>
      </c>
      <c r="AI243" s="274">
        <v>1931.393</v>
      </c>
      <c r="AJ243" s="274">
        <v>1978.575</v>
      </c>
      <c r="AK243" s="274">
        <v>2026.057</v>
      </c>
      <c r="AL243" s="274">
        <v>2073.826</v>
      </c>
      <c r="AM243" s="274">
        <v>2121.9209999999998</v>
      </c>
      <c r="AN243" s="274">
        <v>2170.39</v>
      </c>
      <c r="AO243" s="274">
        <v>2219.2759999999998</v>
      </c>
      <c r="AP243" s="274">
        <v>2268.6190000000001</v>
      </c>
      <c r="AQ243" s="274">
        <v>2318.444</v>
      </c>
      <c r="AR243" s="274">
        <v>2368.7719999999999</v>
      </c>
      <c r="AS243" s="274">
        <v>2419.6179999999999</v>
      </c>
      <c r="AT243" s="274">
        <v>2471.0100000000002</v>
      </c>
      <c r="AU243" s="274">
        <v>2522.9009999999998</v>
      </c>
      <c r="AV243" s="274">
        <v>2575.33</v>
      </c>
      <c r="AW243" s="274">
        <v>2628.511</v>
      </c>
      <c r="AX243" s="274">
        <v>2682.72</v>
      </c>
      <c r="AY243" s="274">
        <v>2738.125</v>
      </c>
      <c r="AZ243" s="274">
        <v>2794.8449999999998</v>
      </c>
      <c r="BA243" s="274">
        <v>2852.739</v>
      </c>
      <c r="BB243" s="274">
        <v>2911.3829999999998</v>
      </c>
      <c r="BC243" s="274">
        <v>2970.1930000000002</v>
      </c>
      <c r="BD243" s="274">
        <v>3028.7510000000002</v>
      </c>
      <c r="BE243" s="274">
        <v>3086.8870000000002</v>
      </c>
      <c r="BF243" s="274">
        <v>3144.7280000000001</v>
      </c>
      <c r="BG243" s="274">
        <v>3202.511</v>
      </c>
      <c r="BH243" s="274">
        <v>3260.6109999999999</v>
      </c>
      <c r="BI243" s="274">
        <v>3319.3009999999999</v>
      </c>
      <c r="BJ243" s="274">
        <v>3378.6</v>
      </c>
      <c r="BK243" s="274">
        <v>3438.3980000000001</v>
      </c>
      <c r="BL243" s="274">
        <v>3498.6790000000001</v>
      </c>
      <c r="BM243" s="274">
        <v>3559.4009999999998</v>
      </c>
      <c r="BN243" s="274">
        <v>3620.5059999999999</v>
      </c>
      <c r="BO243" s="274">
        <v>3681.9789999999998</v>
      </c>
      <c r="BP243" s="274">
        <v>3743.761</v>
      </c>
      <c r="BQ243" s="274">
        <v>3805.683</v>
      </c>
      <c r="BR243" s="274">
        <v>3867.5349999999999</v>
      </c>
      <c r="BS243" s="274">
        <v>3929.1410000000001</v>
      </c>
    </row>
    <row r="244" spans="1:71" x14ac:dyDescent="0.4">
      <c r="A244" s="270">
        <v>225</v>
      </c>
      <c r="B244" s="271" t="s">
        <v>890</v>
      </c>
      <c r="C244" s="277" t="s">
        <v>958</v>
      </c>
      <c r="D244" s="273"/>
      <c r="E244" s="273">
        <v>931</v>
      </c>
      <c r="F244" s="274">
        <v>113739.43399999999</v>
      </c>
      <c r="G244" s="274">
        <v>116896.406</v>
      </c>
      <c r="H244" s="274">
        <v>120151.14</v>
      </c>
      <c r="I244" s="274">
        <v>123484.719</v>
      </c>
      <c r="J244" s="274">
        <v>126886.107</v>
      </c>
      <c r="K244" s="274">
        <v>130352.11900000001</v>
      </c>
      <c r="L244" s="274">
        <v>133887.96799999999</v>
      </c>
      <c r="M244" s="274">
        <v>137506.72500000001</v>
      </c>
      <c r="N244" s="274">
        <v>141227.80900000001</v>
      </c>
      <c r="O244" s="274">
        <v>145074.43700000001</v>
      </c>
      <c r="P244" s="274">
        <v>149065.99299999999</v>
      </c>
      <c r="Q244" s="274">
        <v>153209.883</v>
      </c>
      <c r="R244" s="274">
        <v>157494.41899999999</v>
      </c>
      <c r="S244" s="274">
        <v>161885.75099999999</v>
      </c>
      <c r="T244" s="274">
        <v>166336.535</v>
      </c>
      <c r="U244" s="274">
        <v>170811.36900000001</v>
      </c>
      <c r="V244" s="274">
        <v>175301.34400000001</v>
      </c>
      <c r="W244" s="274">
        <v>179812.872</v>
      </c>
      <c r="X244" s="274">
        <v>184345.04500000001</v>
      </c>
      <c r="Y244" s="274">
        <v>188901.329</v>
      </c>
      <c r="Z244" s="274">
        <v>193486.37</v>
      </c>
      <c r="AA244" s="274">
        <v>198095.42499999999</v>
      </c>
      <c r="AB244" s="274">
        <v>202731.31899999999</v>
      </c>
      <c r="AC244" s="274">
        <v>207416.361</v>
      </c>
      <c r="AD244" s="274">
        <v>212180.492</v>
      </c>
      <c r="AE244" s="274">
        <v>217045.50099999999</v>
      </c>
      <c r="AF244" s="274">
        <v>222014.43</v>
      </c>
      <c r="AG244" s="274">
        <v>227081.25899999999</v>
      </c>
      <c r="AH244" s="274">
        <v>232246.56200000001</v>
      </c>
      <c r="AI244" s="274">
        <v>237508.41200000001</v>
      </c>
      <c r="AJ244" s="274">
        <v>242861.53599999999</v>
      </c>
      <c r="AK244" s="274">
        <v>248305.77600000001</v>
      </c>
      <c r="AL244" s="274">
        <v>253830.511</v>
      </c>
      <c r="AM244" s="274">
        <v>259406.13500000001</v>
      </c>
      <c r="AN244" s="274">
        <v>264994.27399999998</v>
      </c>
      <c r="AO244" s="274">
        <v>270564.54700000002</v>
      </c>
      <c r="AP244" s="274">
        <v>276106.61800000002</v>
      </c>
      <c r="AQ244" s="274">
        <v>281618.40000000002</v>
      </c>
      <c r="AR244" s="274">
        <v>287088.59499999997</v>
      </c>
      <c r="AS244" s="274">
        <v>292507.31900000002</v>
      </c>
      <c r="AT244" s="274">
        <v>297868.65600000002</v>
      </c>
      <c r="AU244" s="274">
        <v>303162.24900000001</v>
      </c>
      <c r="AV244" s="274">
        <v>308389.69</v>
      </c>
      <c r="AW244" s="274">
        <v>313572.48200000002</v>
      </c>
      <c r="AX244" s="274">
        <v>318741.527</v>
      </c>
      <c r="AY244" s="274">
        <v>323918.58600000001</v>
      </c>
      <c r="AZ244" s="274">
        <v>329106.00799999997</v>
      </c>
      <c r="BA244" s="274">
        <v>334294.26500000001</v>
      </c>
      <c r="BB244" s="274">
        <v>339478.15100000001</v>
      </c>
      <c r="BC244" s="274">
        <v>344648.59700000001</v>
      </c>
      <c r="BD244" s="274">
        <v>349795.65700000001</v>
      </c>
      <c r="BE244" s="274">
        <v>354923.54800000001</v>
      </c>
      <c r="BF244" s="274">
        <v>360025.58199999999</v>
      </c>
      <c r="BG244" s="274">
        <v>365067.67499999999</v>
      </c>
      <c r="BH244" s="274">
        <v>370005.54399999999</v>
      </c>
      <c r="BI244" s="274">
        <v>374809.12800000003</v>
      </c>
      <c r="BJ244" s="274">
        <v>379461.20799999998</v>
      </c>
      <c r="BK244" s="274">
        <v>383973.95</v>
      </c>
      <c r="BL244" s="274">
        <v>388383.07500000001</v>
      </c>
      <c r="BM244" s="274">
        <v>392740.92800000001</v>
      </c>
      <c r="BN244" s="274">
        <v>397085.00300000003</v>
      </c>
      <c r="BO244" s="274">
        <v>401425.85499999998</v>
      </c>
      <c r="BP244" s="274">
        <v>405750.42300000001</v>
      </c>
      <c r="BQ244" s="274">
        <v>410043.90700000001</v>
      </c>
      <c r="BR244" s="274">
        <v>414282.27399999998</v>
      </c>
      <c r="BS244" s="274">
        <v>418447.196</v>
      </c>
    </row>
    <row r="245" spans="1:71" x14ac:dyDescent="0.4">
      <c r="A245" s="270">
        <v>226</v>
      </c>
      <c r="B245" s="271" t="s">
        <v>890</v>
      </c>
      <c r="C245" s="276" t="s">
        <v>207</v>
      </c>
      <c r="D245" s="273"/>
      <c r="E245" s="273">
        <v>32</v>
      </c>
      <c r="F245" s="274">
        <v>17150.334999999999</v>
      </c>
      <c r="G245" s="274">
        <v>17507.132000000001</v>
      </c>
      <c r="H245" s="274">
        <v>17866.097000000002</v>
      </c>
      <c r="I245" s="274">
        <v>18224.150000000001</v>
      </c>
      <c r="J245" s="274">
        <v>18579.041000000001</v>
      </c>
      <c r="K245" s="274">
        <v>18929.349999999999</v>
      </c>
      <c r="L245" s="274">
        <v>19274.526000000002</v>
      </c>
      <c r="M245" s="274">
        <v>19614.848000000002</v>
      </c>
      <c r="N245" s="274">
        <v>19951.326000000001</v>
      </c>
      <c r="O245" s="274">
        <v>20285.53</v>
      </c>
      <c r="P245" s="274">
        <v>20619.075000000001</v>
      </c>
      <c r="Q245" s="274">
        <v>20953.079000000002</v>
      </c>
      <c r="R245" s="274">
        <v>21287.682000000001</v>
      </c>
      <c r="S245" s="274">
        <v>21621.845000000001</v>
      </c>
      <c r="T245" s="274">
        <v>21953.925999999999</v>
      </c>
      <c r="U245" s="274">
        <v>22283.388999999999</v>
      </c>
      <c r="V245" s="274">
        <v>22608.746999999999</v>
      </c>
      <c r="W245" s="274">
        <v>22932.201000000001</v>
      </c>
      <c r="X245" s="274">
        <v>23261.273000000001</v>
      </c>
      <c r="Y245" s="274">
        <v>23605.991999999998</v>
      </c>
      <c r="Z245" s="274">
        <v>23973.062000000002</v>
      </c>
      <c r="AA245" s="274">
        <v>24366.441999999999</v>
      </c>
      <c r="AB245" s="274">
        <v>24782.95</v>
      </c>
      <c r="AC245" s="274">
        <v>25213.387999999999</v>
      </c>
      <c r="AD245" s="274">
        <v>25644.505000000001</v>
      </c>
      <c r="AE245" s="274">
        <v>26066.974999999999</v>
      </c>
      <c r="AF245" s="274">
        <v>26477.152999999998</v>
      </c>
      <c r="AG245" s="274">
        <v>26878.566999999999</v>
      </c>
      <c r="AH245" s="274">
        <v>27277.741999999998</v>
      </c>
      <c r="AI245" s="274">
        <v>27684.53</v>
      </c>
      <c r="AJ245" s="274">
        <v>28105.888999999999</v>
      </c>
      <c r="AK245" s="274">
        <v>28543.366000000002</v>
      </c>
      <c r="AL245" s="274">
        <v>28993.989000000001</v>
      </c>
      <c r="AM245" s="274">
        <v>29454.739000000001</v>
      </c>
      <c r="AN245" s="274">
        <v>29920.906999999999</v>
      </c>
      <c r="AO245" s="274">
        <v>30388.780999999999</v>
      </c>
      <c r="AP245" s="274">
        <v>30857.241999999998</v>
      </c>
      <c r="AQ245" s="274">
        <v>31326.473000000002</v>
      </c>
      <c r="AR245" s="274">
        <v>31795.514999999999</v>
      </c>
      <c r="AS245" s="274">
        <v>32263.559000000001</v>
      </c>
      <c r="AT245" s="274">
        <v>32729.74</v>
      </c>
      <c r="AU245" s="274">
        <v>33193.919999999998</v>
      </c>
      <c r="AV245" s="274">
        <v>33655.148999999998</v>
      </c>
      <c r="AW245" s="274">
        <v>34110.911999999997</v>
      </c>
      <c r="AX245" s="274">
        <v>34558.114000000001</v>
      </c>
      <c r="AY245" s="274">
        <v>34994.817999999999</v>
      </c>
      <c r="AZ245" s="274">
        <v>35419.682999999997</v>
      </c>
      <c r="BA245" s="274">
        <v>35833.964999999997</v>
      </c>
      <c r="BB245" s="274">
        <v>36241.578000000001</v>
      </c>
      <c r="BC245" s="274">
        <v>36648.053999999996</v>
      </c>
      <c r="BD245" s="274">
        <v>37057.453000000001</v>
      </c>
      <c r="BE245" s="274">
        <v>37471.535000000003</v>
      </c>
      <c r="BF245" s="274">
        <v>37889.442999999999</v>
      </c>
      <c r="BG245" s="274">
        <v>38309.474999999999</v>
      </c>
      <c r="BH245" s="274">
        <v>38728.777999999998</v>
      </c>
      <c r="BI245" s="274">
        <v>39145.491000000002</v>
      </c>
      <c r="BJ245" s="274">
        <v>39558.75</v>
      </c>
      <c r="BK245" s="274">
        <v>39969.902999999998</v>
      </c>
      <c r="BL245" s="274">
        <v>40381.86</v>
      </c>
      <c r="BM245" s="274">
        <v>40798.641000000003</v>
      </c>
      <c r="BN245" s="274">
        <v>41222.875</v>
      </c>
      <c r="BO245" s="274">
        <v>41655.616000000002</v>
      </c>
      <c r="BP245" s="274">
        <v>42095.224000000002</v>
      </c>
      <c r="BQ245" s="274">
        <v>42538.303999999996</v>
      </c>
      <c r="BR245" s="274">
        <v>42980.025999999998</v>
      </c>
      <c r="BS245" s="274">
        <v>43416.754999999997</v>
      </c>
    </row>
    <row r="246" spans="1:71" x14ac:dyDescent="0.4">
      <c r="A246" s="270">
        <v>227</v>
      </c>
      <c r="B246" s="271" t="s">
        <v>890</v>
      </c>
      <c r="C246" s="276" t="s">
        <v>258</v>
      </c>
      <c r="D246" s="273"/>
      <c r="E246" s="273">
        <v>68</v>
      </c>
      <c r="F246" s="274">
        <v>3089.6489999999999</v>
      </c>
      <c r="G246" s="274">
        <v>3140.3420000000001</v>
      </c>
      <c r="H246" s="274">
        <v>3193.2869999999998</v>
      </c>
      <c r="I246" s="274">
        <v>3248.462</v>
      </c>
      <c r="J246" s="274">
        <v>3305.835</v>
      </c>
      <c r="K246" s="274">
        <v>3365.3629999999998</v>
      </c>
      <c r="L246" s="274">
        <v>3426.9989999999998</v>
      </c>
      <c r="M246" s="274">
        <v>3490.6849999999999</v>
      </c>
      <c r="N246" s="274">
        <v>3556.3609999999999</v>
      </c>
      <c r="O246" s="274">
        <v>3623.9639999999999</v>
      </c>
      <c r="P246" s="274">
        <v>3693.451</v>
      </c>
      <c r="Q246" s="274">
        <v>3764.8150000000001</v>
      </c>
      <c r="R246" s="274">
        <v>3838.096</v>
      </c>
      <c r="S246" s="274">
        <v>3913.3969999999999</v>
      </c>
      <c r="T246" s="274">
        <v>3990.855</v>
      </c>
      <c r="U246" s="274">
        <v>4070.59</v>
      </c>
      <c r="V246" s="274">
        <v>4152.665</v>
      </c>
      <c r="W246" s="274">
        <v>4237.1260000000002</v>
      </c>
      <c r="X246" s="274">
        <v>4324.0659999999998</v>
      </c>
      <c r="Y246" s="274">
        <v>4413.5839999999998</v>
      </c>
      <c r="Z246" s="274">
        <v>4505.7740000000003</v>
      </c>
      <c r="AA246" s="274">
        <v>4600.5959999999995</v>
      </c>
      <c r="AB246" s="274">
        <v>4698.09</v>
      </c>
      <c r="AC246" s="274">
        <v>4798.51</v>
      </c>
      <c r="AD246" s="274">
        <v>4902.1729999999998</v>
      </c>
      <c r="AE246" s="274">
        <v>5009.259</v>
      </c>
      <c r="AF246" s="274">
        <v>5119.8329999999996</v>
      </c>
      <c r="AG246" s="274">
        <v>5233.6769999999997</v>
      </c>
      <c r="AH246" s="274">
        <v>5350.32</v>
      </c>
      <c r="AI246" s="274">
        <v>5469.1229999999996</v>
      </c>
      <c r="AJ246" s="274">
        <v>5589.5720000000001</v>
      </c>
      <c r="AK246" s="274">
        <v>5711.598</v>
      </c>
      <c r="AL246" s="274">
        <v>5835.1859999999997</v>
      </c>
      <c r="AM246" s="274">
        <v>5959.9620000000004</v>
      </c>
      <c r="AN246" s="274">
        <v>6085.4989999999998</v>
      </c>
      <c r="AO246" s="274">
        <v>6211.549</v>
      </c>
      <c r="AP246" s="274">
        <v>6337.893</v>
      </c>
      <c r="AQ246" s="274">
        <v>6464.7359999999999</v>
      </c>
      <c r="AR246" s="274">
        <v>6592.7870000000003</v>
      </c>
      <c r="AS246" s="274">
        <v>6723.0460000000003</v>
      </c>
      <c r="AT246" s="274">
        <v>6856.2460000000001</v>
      </c>
      <c r="AU246" s="274">
        <v>6992.5209999999997</v>
      </c>
      <c r="AV246" s="274">
        <v>7131.6989999999996</v>
      </c>
      <c r="AW246" s="274">
        <v>7273.8239999999996</v>
      </c>
      <c r="AX246" s="274">
        <v>7418.8639999999996</v>
      </c>
      <c r="AY246" s="274">
        <v>7566.7160000000003</v>
      </c>
      <c r="AZ246" s="274">
        <v>7717.4449999999997</v>
      </c>
      <c r="BA246" s="274">
        <v>7870.86</v>
      </c>
      <c r="BB246" s="274">
        <v>8026.2569999999996</v>
      </c>
      <c r="BC246" s="274">
        <v>8182.71</v>
      </c>
      <c r="BD246" s="274">
        <v>8339.5120000000006</v>
      </c>
      <c r="BE246" s="274">
        <v>8496.3780000000006</v>
      </c>
      <c r="BF246" s="274">
        <v>8653.3430000000008</v>
      </c>
      <c r="BG246" s="274">
        <v>8810.42</v>
      </c>
      <c r="BH246" s="274">
        <v>8967.74</v>
      </c>
      <c r="BI246" s="274">
        <v>9125.4050000000007</v>
      </c>
      <c r="BJ246" s="274">
        <v>9283.3449999999993</v>
      </c>
      <c r="BK246" s="274">
        <v>9441.482</v>
      </c>
      <c r="BL246" s="274">
        <v>9599.9159999999993</v>
      </c>
      <c r="BM246" s="274">
        <v>9758.7990000000009</v>
      </c>
      <c r="BN246" s="274">
        <v>9918.2450000000008</v>
      </c>
      <c r="BO246" s="274">
        <v>10078.237999999999</v>
      </c>
      <c r="BP246" s="274">
        <v>10238.762000000001</v>
      </c>
      <c r="BQ246" s="274">
        <v>10399.931</v>
      </c>
      <c r="BR246" s="274">
        <v>10561.887000000001</v>
      </c>
      <c r="BS246" s="274">
        <v>10724.705</v>
      </c>
    </row>
    <row r="247" spans="1:71" x14ac:dyDescent="0.4">
      <c r="A247" s="270">
        <v>228</v>
      </c>
      <c r="B247" s="271" t="s">
        <v>890</v>
      </c>
      <c r="C247" s="276" t="s">
        <v>270</v>
      </c>
      <c r="D247" s="273"/>
      <c r="E247" s="273">
        <v>76</v>
      </c>
      <c r="F247" s="274">
        <v>53974.726000000002</v>
      </c>
      <c r="G247" s="274">
        <v>55605.540999999997</v>
      </c>
      <c r="H247" s="274">
        <v>57304.771999999997</v>
      </c>
      <c r="I247" s="274">
        <v>59053.267</v>
      </c>
      <c r="J247" s="274">
        <v>60838.781999999999</v>
      </c>
      <c r="K247" s="274">
        <v>62655.983999999997</v>
      </c>
      <c r="L247" s="274">
        <v>64506.874000000003</v>
      </c>
      <c r="M247" s="274">
        <v>66400.361999999994</v>
      </c>
      <c r="N247" s="274">
        <v>68351.012000000002</v>
      </c>
      <c r="O247" s="274">
        <v>70376.952000000005</v>
      </c>
      <c r="P247" s="274">
        <v>72493.585000000006</v>
      </c>
      <c r="Q247" s="274">
        <v>74706.888000000006</v>
      </c>
      <c r="R247" s="274">
        <v>77007.548999999999</v>
      </c>
      <c r="S247" s="274">
        <v>79368.452999999994</v>
      </c>
      <c r="T247" s="274">
        <v>81751.801999999996</v>
      </c>
      <c r="U247" s="274">
        <v>84130.061000000002</v>
      </c>
      <c r="V247" s="274">
        <v>86494.986999999994</v>
      </c>
      <c r="W247" s="274">
        <v>88853.679000000004</v>
      </c>
      <c r="X247" s="274">
        <v>91213.009000000005</v>
      </c>
      <c r="Y247" s="274">
        <v>93585.745999999999</v>
      </c>
      <c r="Z247" s="274">
        <v>95982.452999999994</v>
      </c>
      <c r="AA247" s="274">
        <v>98402.2</v>
      </c>
      <c r="AB247" s="274">
        <v>100844.391</v>
      </c>
      <c r="AC247" s="274">
        <v>103320.787</v>
      </c>
      <c r="AD247" s="274">
        <v>105846.274</v>
      </c>
      <c r="AE247" s="274">
        <v>108431.284</v>
      </c>
      <c r="AF247" s="274">
        <v>111076.06299999999</v>
      </c>
      <c r="AG247" s="274">
        <v>113776.467</v>
      </c>
      <c r="AH247" s="274">
        <v>116532.15300000001</v>
      </c>
      <c r="AI247" s="274">
        <v>119341.444</v>
      </c>
      <c r="AJ247" s="274">
        <v>122199.72100000001</v>
      </c>
      <c r="AK247" s="274">
        <v>125107.382</v>
      </c>
      <c r="AL247" s="274">
        <v>128054.757</v>
      </c>
      <c r="AM247" s="274">
        <v>131014.337</v>
      </c>
      <c r="AN247" s="274">
        <v>133950.55100000001</v>
      </c>
      <c r="AO247" s="274">
        <v>136836.42800000001</v>
      </c>
      <c r="AP247" s="274">
        <v>139664.639</v>
      </c>
      <c r="AQ247" s="274">
        <v>142437.47899999999</v>
      </c>
      <c r="AR247" s="274">
        <v>145150.46799999999</v>
      </c>
      <c r="AS247" s="274">
        <v>147801.81599999999</v>
      </c>
      <c r="AT247" s="274">
        <v>150393.14300000001</v>
      </c>
      <c r="AU247" s="274">
        <v>152916.85200000001</v>
      </c>
      <c r="AV247" s="274">
        <v>155379.00899999999</v>
      </c>
      <c r="AW247" s="274">
        <v>157812.22</v>
      </c>
      <c r="AX247" s="274">
        <v>160260.508</v>
      </c>
      <c r="AY247" s="274">
        <v>162755.054</v>
      </c>
      <c r="AZ247" s="274">
        <v>165303.155</v>
      </c>
      <c r="BA247" s="274">
        <v>167893.83499999999</v>
      </c>
      <c r="BB247" s="274">
        <v>170516.48199999999</v>
      </c>
      <c r="BC247" s="274">
        <v>173153.06599999999</v>
      </c>
      <c r="BD247" s="274">
        <v>175786.44099999999</v>
      </c>
      <c r="BE247" s="274">
        <v>178419.39600000001</v>
      </c>
      <c r="BF247" s="274">
        <v>181045.592</v>
      </c>
      <c r="BG247" s="274">
        <v>183627.33900000001</v>
      </c>
      <c r="BH247" s="274">
        <v>186116.36300000001</v>
      </c>
      <c r="BI247" s="274">
        <v>188479.24</v>
      </c>
      <c r="BJ247" s="274">
        <v>190698.24100000001</v>
      </c>
      <c r="BK247" s="274">
        <v>192784.52100000001</v>
      </c>
      <c r="BL247" s="274">
        <v>194769.696</v>
      </c>
      <c r="BM247" s="274">
        <v>196701.29800000001</v>
      </c>
      <c r="BN247" s="274">
        <v>198614.20800000001</v>
      </c>
      <c r="BO247" s="274">
        <v>200517.584</v>
      </c>
      <c r="BP247" s="274">
        <v>202401.584</v>
      </c>
      <c r="BQ247" s="274">
        <v>204259.37700000001</v>
      </c>
      <c r="BR247" s="274">
        <v>206077.89799999999</v>
      </c>
      <c r="BS247" s="274">
        <v>207847.52799999999</v>
      </c>
    </row>
    <row r="248" spans="1:71" x14ac:dyDescent="0.4">
      <c r="A248" s="270">
        <v>229</v>
      </c>
      <c r="B248" s="271" t="s">
        <v>890</v>
      </c>
      <c r="C248" s="276" t="s">
        <v>308</v>
      </c>
      <c r="D248" s="273"/>
      <c r="E248" s="273">
        <v>152</v>
      </c>
      <c r="F248" s="274">
        <v>6142.8990000000003</v>
      </c>
      <c r="G248" s="274">
        <v>6278.3459999999995</v>
      </c>
      <c r="H248" s="274">
        <v>6417.5429999999997</v>
      </c>
      <c r="I248" s="274">
        <v>6561.0330000000004</v>
      </c>
      <c r="J248" s="274">
        <v>6709.1880000000001</v>
      </c>
      <c r="K248" s="274">
        <v>6862.2110000000002</v>
      </c>
      <c r="L248" s="274">
        <v>7020.125</v>
      </c>
      <c r="M248" s="274">
        <v>7182.7860000000001</v>
      </c>
      <c r="N248" s="274">
        <v>7349.8919999999998</v>
      </c>
      <c r="O248" s="274">
        <v>7521.0159999999996</v>
      </c>
      <c r="P248" s="274">
        <v>7695.692</v>
      </c>
      <c r="Q248" s="274">
        <v>7873.5039999999999</v>
      </c>
      <c r="R248" s="274">
        <v>8054.1660000000002</v>
      </c>
      <c r="S248" s="274">
        <v>8237.5550000000003</v>
      </c>
      <c r="T248" s="274">
        <v>8423.6139999999996</v>
      </c>
      <c r="U248" s="274">
        <v>8612.0740000000005</v>
      </c>
      <c r="V248" s="274">
        <v>8802.9259999999995</v>
      </c>
      <c r="W248" s="274">
        <v>8995.41</v>
      </c>
      <c r="X248" s="274">
        <v>9187.5920000000006</v>
      </c>
      <c r="Y248" s="274">
        <v>9377.0049999999992</v>
      </c>
      <c r="Z248" s="274">
        <v>9561.8680000000004</v>
      </c>
      <c r="AA248" s="274">
        <v>9741.5789999999997</v>
      </c>
      <c r="AB248" s="274">
        <v>9916.5580000000009</v>
      </c>
      <c r="AC248" s="274">
        <v>10087.377</v>
      </c>
      <c r="AD248" s="274">
        <v>10255.074000000001</v>
      </c>
      <c r="AE248" s="274">
        <v>10420.59</v>
      </c>
      <c r="AF248" s="274">
        <v>10584.236999999999</v>
      </c>
      <c r="AG248" s="274">
        <v>10746.328</v>
      </c>
      <c r="AH248" s="274">
        <v>10907.901</v>
      </c>
      <c r="AI248" s="274">
        <v>11070.198</v>
      </c>
      <c r="AJ248" s="274">
        <v>11234.34</v>
      </c>
      <c r="AK248" s="274">
        <v>11400.489</v>
      </c>
      <c r="AL248" s="274">
        <v>11569.135</v>
      </c>
      <c r="AM248" s="274">
        <v>11742.057000000001</v>
      </c>
      <c r="AN248" s="274">
        <v>11921.406999999999</v>
      </c>
      <c r="AO248" s="274">
        <v>12108.575999999999</v>
      </c>
      <c r="AP248" s="274">
        <v>12304.203</v>
      </c>
      <c r="AQ248" s="274">
        <v>12507.487999999999</v>
      </c>
      <c r="AR248" s="274">
        <v>12716.508</v>
      </c>
      <c r="AS248" s="274">
        <v>12928.491</v>
      </c>
      <c r="AT248" s="274">
        <v>13141.201999999999</v>
      </c>
      <c r="AU248" s="274">
        <v>13354.054</v>
      </c>
      <c r="AV248" s="274">
        <v>13566.941999999999</v>
      </c>
      <c r="AW248" s="274">
        <v>13778.675999999999</v>
      </c>
      <c r="AX248" s="274">
        <v>13987.999</v>
      </c>
      <c r="AY248" s="274">
        <v>14193.986000000001</v>
      </c>
      <c r="AZ248" s="274">
        <v>14396.02</v>
      </c>
      <c r="BA248" s="274">
        <v>14594.07</v>
      </c>
      <c r="BB248" s="274">
        <v>14788.609</v>
      </c>
      <c r="BC248" s="274">
        <v>14980.484</v>
      </c>
      <c r="BD248" s="274">
        <v>15170.387000000001</v>
      </c>
      <c r="BE248" s="274">
        <v>15358.418</v>
      </c>
      <c r="BF248" s="274">
        <v>15544.554</v>
      </c>
      <c r="BG248" s="274">
        <v>15729.268</v>
      </c>
      <c r="BH248" s="274">
        <v>15913.119000000001</v>
      </c>
      <c r="BI248" s="274">
        <v>16096.571</v>
      </c>
      <c r="BJ248" s="274">
        <v>16279.727999999999</v>
      </c>
      <c r="BK248" s="274">
        <v>16462.701000000001</v>
      </c>
      <c r="BL248" s="274">
        <v>16645.939999999999</v>
      </c>
      <c r="BM248" s="274">
        <v>16829.956999999999</v>
      </c>
      <c r="BN248" s="274">
        <v>17015.047999999999</v>
      </c>
      <c r="BO248" s="274">
        <v>17201.305</v>
      </c>
      <c r="BP248" s="274">
        <v>17388.437000000002</v>
      </c>
      <c r="BQ248" s="274">
        <v>17575.832999999999</v>
      </c>
      <c r="BR248" s="274">
        <v>17762.647000000001</v>
      </c>
      <c r="BS248" s="274">
        <v>17948.141</v>
      </c>
    </row>
    <row r="249" spans="1:71" x14ac:dyDescent="0.4">
      <c r="A249" s="270">
        <v>230</v>
      </c>
      <c r="B249" s="271" t="s">
        <v>890</v>
      </c>
      <c r="C249" s="276" t="s">
        <v>316</v>
      </c>
      <c r="D249" s="273"/>
      <c r="E249" s="273">
        <v>170</v>
      </c>
      <c r="F249" s="274">
        <v>12340.898999999999</v>
      </c>
      <c r="G249" s="274">
        <v>12699.949000000001</v>
      </c>
      <c r="H249" s="274">
        <v>13064.689</v>
      </c>
      <c r="I249" s="274">
        <v>13438.645</v>
      </c>
      <c r="J249" s="274">
        <v>13824.721</v>
      </c>
      <c r="K249" s="274">
        <v>14225.197</v>
      </c>
      <c r="L249" s="274">
        <v>14641.718000000001</v>
      </c>
      <c r="M249" s="274">
        <v>15075.304</v>
      </c>
      <c r="N249" s="274">
        <v>15526.391</v>
      </c>
      <c r="O249" s="274">
        <v>15994.891</v>
      </c>
      <c r="P249" s="274">
        <v>16480.383999999998</v>
      </c>
      <c r="Q249" s="274">
        <v>16982.312999999998</v>
      </c>
      <c r="R249" s="274">
        <v>17500.166000000001</v>
      </c>
      <c r="S249" s="274">
        <v>18033.547999999999</v>
      </c>
      <c r="T249" s="274">
        <v>18581.972000000002</v>
      </c>
      <c r="U249" s="274">
        <v>19144.22</v>
      </c>
      <c r="V249" s="274">
        <v>19721.464</v>
      </c>
      <c r="W249" s="274">
        <v>20311.368999999999</v>
      </c>
      <c r="X249" s="274">
        <v>20905.061000000002</v>
      </c>
      <c r="Y249" s="274">
        <v>21490.948</v>
      </c>
      <c r="Z249" s="274">
        <v>22061.214</v>
      </c>
      <c r="AA249" s="274">
        <v>22611.988000000001</v>
      </c>
      <c r="AB249" s="274">
        <v>23146.803</v>
      </c>
      <c r="AC249" s="274">
        <v>23674.505000000001</v>
      </c>
      <c r="AD249" s="274">
        <v>24208.022000000001</v>
      </c>
      <c r="AE249" s="274">
        <v>24756.969000000001</v>
      </c>
      <c r="AF249" s="274">
        <v>25323.412</v>
      </c>
      <c r="AG249" s="274">
        <v>25905.124</v>
      </c>
      <c r="AH249" s="274">
        <v>26502.171999999999</v>
      </c>
      <c r="AI249" s="274">
        <v>27113.51</v>
      </c>
      <c r="AJ249" s="274">
        <v>27737.904999999999</v>
      </c>
      <c r="AK249" s="274">
        <v>28375.994999999999</v>
      </c>
      <c r="AL249" s="274">
        <v>29027.157999999999</v>
      </c>
      <c r="AM249" s="274">
        <v>29687.096000000001</v>
      </c>
      <c r="AN249" s="274">
        <v>30350.081999999999</v>
      </c>
      <c r="AO249" s="274">
        <v>31011.686000000002</v>
      </c>
      <c r="AP249" s="274">
        <v>31669.78</v>
      </c>
      <c r="AQ249" s="274">
        <v>32324.326000000001</v>
      </c>
      <c r="AR249" s="274">
        <v>32975.533000000003</v>
      </c>
      <c r="AS249" s="274">
        <v>33624.442000000003</v>
      </c>
      <c r="AT249" s="274">
        <v>34271.563000000002</v>
      </c>
      <c r="AU249" s="274">
        <v>34916.769999999997</v>
      </c>
      <c r="AV249" s="274">
        <v>35558.682999999997</v>
      </c>
      <c r="AW249" s="274">
        <v>36195.17</v>
      </c>
      <c r="AX249" s="274">
        <v>36823.538999999997</v>
      </c>
      <c r="AY249" s="274">
        <v>37441.980000000003</v>
      </c>
      <c r="AZ249" s="274">
        <v>38049.040000000001</v>
      </c>
      <c r="BA249" s="274">
        <v>38645.409</v>
      </c>
      <c r="BB249" s="274">
        <v>39234.059000000001</v>
      </c>
      <c r="BC249" s="274">
        <v>39819.279000000002</v>
      </c>
      <c r="BD249" s="274">
        <v>40403.959000000003</v>
      </c>
      <c r="BE249" s="274">
        <v>40988.909</v>
      </c>
      <c r="BF249" s="274">
        <v>41572.493000000002</v>
      </c>
      <c r="BG249" s="274">
        <v>42152.146999999997</v>
      </c>
      <c r="BH249" s="274">
        <v>42724.156999999999</v>
      </c>
      <c r="BI249" s="274">
        <v>43285.635999999999</v>
      </c>
      <c r="BJ249" s="274">
        <v>43835.743999999999</v>
      </c>
      <c r="BK249" s="274">
        <v>44374.646999999997</v>
      </c>
      <c r="BL249" s="274">
        <v>44901.66</v>
      </c>
      <c r="BM249" s="274">
        <v>45416.275999999998</v>
      </c>
      <c r="BN249" s="274">
        <v>45918.101000000002</v>
      </c>
      <c r="BO249" s="274">
        <v>46406.446000000004</v>
      </c>
      <c r="BP249" s="274">
        <v>46881.017999999996</v>
      </c>
      <c r="BQ249" s="274">
        <v>47342.362999999998</v>
      </c>
      <c r="BR249" s="274">
        <v>47791.392999999996</v>
      </c>
      <c r="BS249" s="274">
        <v>48228.703999999998</v>
      </c>
    </row>
    <row r="250" spans="1:71" x14ac:dyDescent="0.4">
      <c r="A250" s="270">
        <v>231</v>
      </c>
      <c r="B250" s="271" t="s">
        <v>890</v>
      </c>
      <c r="C250" s="276" t="s">
        <v>373</v>
      </c>
      <c r="D250" s="273"/>
      <c r="E250" s="273">
        <v>218</v>
      </c>
      <c r="F250" s="274">
        <v>3470.1619999999998</v>
      </c>
      <c r="G250" s="274">
        <v>3561.154</v>
      </c>
      <c r="H250" s="274">
        <v>3655.0120000000002</v>
      </c>
      <c r="I250" s="274">
        <v>3752.1309999999999</v>
      </c>
      <c r="J250" s="274">
        <v>3852.857</v>
      </c>
      <c r="K250" s="274">
        <v>3957.482</v>
      </c>
      <c r="L250" s="274">
        <v>4066.24</v>
      </c>
      <c r="M250" s="274">
        <v>4179.3140000000003</v>
      </c>
      <c r="N250" s="274">
        <v>4296.835</v>
      </c>
      <c r="O250" s="274">
        <v>4418.8919999999998</v>
      </c>
      <c r="P250" s="274">
        <v>4545.5479999999998</v>
      </c>
      <c r="Q250" s="274">
        <v>4676.8580000000002</v>
      </c>
      <c r="R250" s="274">
        <v>4812.8919999999998</v>
      </c>
      <c r="S250" s="274">
        <v>4953.7349999999997</v>
      </c>
      <c r="T250" s="274">
        <v>5099.47</v>
      </c>
      <c r="U250" s="274">
        <v>5250.12</v>
      </c>
      <c r="V250" s="274">
        <v>5405.692</v>
      </c>
      <c r="W250" s="274">
        <v>5566.0569999999998</v>
      </c>
      <c r="X250" s="274">
        <v>5730.9080000000004</v>
      </c>
      <c r="Y250" s="274">
        <v>5899.8419999999996</v>
      </c>
      <c r="Z250" s="274">
        <v>6072.52</v>
      </c>
      <c r="AA250" s="274">
        <v>6248.8310000000001</v>
      </c>
      <c r="AB250" s="274">
        <v>6428.7070000000003</v>
      </c>
      <c r="AC250" s="274">
        <v>6611.9160000000002</v>
      </c>
      <c r="AD250" s="274">
        <v>6798.2049999999999</v>
      </c>
      <c r="AE250" s="274">
        <v>6987.393</v>
      </c>
      <c r="AF250" s="274">
        <v>7179.3990000000003</v>
      </c>
      <c r="AG250" s="274">
        <v>7374.2349999999997</v>
      </c>
      <c r="AH250" s="274">
        <v>7571.9530000000004</v>
      </c>
      <c r="AI250" s="274">
        <v>7772.652</v>
      </c>
      <c r="AJ250" s="274">
        <v>7976.4489999999996</v>
      </c>
      <c r="AK250" s="274">
        <v>8183.1940000000004</v>
      </c>
      <c r="AL250" s="274">
        <v>8392.9349999999995</v>
      </c>
      <c r="AM250" s="274">
        <v>8606.2139999999999</v>
      </c>
      <c r="AN250" s="274">
        <v>8823.7459999999992</v>
      </c>
      <c r="AO250" s="274">
        <v>9045.9770000000008</v>
      </c>
      <c r="AP250" s="274">
        <v>9272.9050000000007</v>
      </c>
      <c r="AQ250" s="274">
        <v>9504.1319999999996</v>
      </c>
      <c r="AR250" s="274">
        <v>9739.1790000000001</v>
      </c>
      <c r="AS250" s="274">
        <v>9977.3799999999992</v>
      </c>
      <c r="AT250" s="274">
        <v>10218.084999999999</v>
      </c>
      <c r="AU250" s="274">
        <v>10460.987999999999</v>
      </c>
      <c r="AV250" s="274">
        <v>10705.67</v>
      </c>
      <c r="AW250" s="274">
        <v>10951.2</v>
      </c>
      <c r="AX250" s="274">
        <v>11196.476000000001</v>
      </c>
      <c r="AY250" s="274">
        <v>11440.575999999999</v>
      </c>
      <c r="AZ250" s="274">
        <v>11683.48</v>
      </c>
      <c r="BA250" s="274">
        <v>11924.991</v>
      </c>
      <c r="BB250" s="274">
        <v>12163.887000000001</v>
      </c>
      <c r="BC250" s="274">
        <v>12398.691000000001</v>
      </c>
      <c r="BD250" s="274">
        <v>12628.596</v>
      </c>
      <c r="BE250" s="274">
        <v>12852.753000000001</v>
      </c>
      <c r="BF250" s="274">
        <v>13072.056</v>
      </c>
      <c r="BG250" s="274">
        <v>13289.6</v>
      </c>
      <c r="BH250" s="274">
        <v>13509.645</v>
      </c>
      <c r="BI250" s="274">
        <v>13735.232</v>
      </c>
      <c r="BJ250" s="274">
        <v>13967.49</v>
      </c>
      <c r="BK250" s="274">
        <v>14205.478999999999</v>
      </c>
      <c r="BL250" s="274">
        <v>14447.6</v>
      </c>
      <c r="BM250" s="274">
        <v>14691.31</v>
      </c>
      <c r="BN250" s="274">
        <v>14934.691999999999</v>
      </c>
      <c r="BO250" s="274">
        <v>15177.28</v>
      </c>
      <c r="BP250" s="274">
        <v>15419.493</v>
      </c>
      <c r="BQ250" s="274">
        <v>15661.312</v>
      </c>
      <c r="BR250" s="274">
        <v>15902.915999999999</v>
      </c>
      <c r="BS250" s="274">
        <v>16144.362999999999</v>
      </c>
    </row>
    <row r="251" spans="1:71" x14ac:dyDescent="0.4">
      <c r="A251" s="270">
        <v>232</v>
      </c>
      <c r="B251" s="271" t="s">
        <v>890</v>
      </c>
      <c r="C251" s="276" t="s">
        <v>959</v>
      </c>
      <c r="D251" s="273"/>
      <c r="E251" s="273">
        <v>238</v>
      </c>
      <c r="F251" s="274">
        <v>2.2610000000000001</v>
      </c>
      <c r="G251" s="274">
        <v>2.2469999999999999</v>
      </c>
      <c r="H251" s="274">
        <v>2.2349999999999999</v>
      </c>
      <c r="I251" s="274">
        <v>2.2240000000000002</v>
      </c>
      <c r="J251" s="274">
        <v>2.2130000000000001</v>
      </c>
      <c r="K251" s="274">
        <v>2.202</v>
      </c>
      <c r="L251" s="274">
        <v>2.1909999999999998</v>
      </c>
      <c r="M251" s="274">
        <v>2.1800000000000002</v>
      </c>
      <c r="N251" s="274">
        <v>2.1680000000000001</v>
      </c>
      <c r="O251" s="274">
        <v>2.1560000000000001</v>
      </c>
      <c r="P251" s="274">
        <v>2.1440000000000001</v>
      </c>
      <c r="Q251" s="274">
        <v>2.1309999999999998</v>
      </c>
      <c r="R251" s="274">
        <v>2.117</v>
      </c>
      <c r="S251" s="274">
        <v>2.1040000000000001</v>
      </c>
      <c r="T251" s="274">
        <v>2.089</v>
      </c>
      <c r="U251" s="274">
        <v>2.0739999999999998</v>
      </c>
      <c r="V251" s="274">
        <v>2.0579999999999998</v>
      </c>
      <c r="W251" s="274">
        <v>2.0409999999999999</v>
      </c>
      <c r="X251" s="274">
        <v>2.024</v>
      </c>
      <c r="Y251" s="274">
        <v>2.008</v>
      </c>
      <c r="Z251" s="274">
        <v>1.9910000000000001</v>
      </c>
      <c r="AA251" s="274">
        <v>1.9750000000000001</v>
      </c>
      <c r="AB251" s="274">
        <v>1.96</v>
      </c>
      <c r="AC251" s="274">
        <v>1.946</v>
      </c>
      <c r="AD251" s="274">
        <v>1.9319999999999999</v>
      </c>
      <c r="AE251" s="274">
        <v>1.917</v>
      </c>
      <c r="AF251" s="274">
        <v>1.903</v>
      </c>
      <c r="AG251" s="274">
        <v>1.889</v>
      </c>
      <c r="AH251" s="274">
        <v>1.877</v>
      </c>
      <c r="AI251" s="274">
        <v>1.8660000000000001</v>
      </c>
      <c r="AJ251" s="274">
        <v>1.8560000000000001</v>
      </c>
      <c r="AK251" s="274">
        <v>1.85</v>
      </c>
      <c r="AL251" s="274">
        <v>1.8460000000000001</v>
      </c>
      <c r="AM251" s="274">
        <v>1.845</v>
      </c>
      <c r="AN251" s="274">
        <v>1.849</v>
      </c>
      <c r="AO251" s="274">
        <v>1.8560000000000001</v>
      </c>
      <c r="AP251" s="274">
        <v>1.867</v>
      </c>
      <c r="AQ251" s="274">
        <v>1.881</v>
      </c>
      <c r="AR251" s="274">
        <v>1.905</v>
      </c>
      <c r="AS251" s="274">
        <v>1.9410000000000001</v>
      </c>
      <c r="AT251" s="274">
        <v>1.9930000000000001</v>
      </c>
      <c r="AU251" s="274">
        <v>2.0619999999999998</v>
      </c>
      <c r="AV251" s="274">
        <v>2.1440000000000001</v>
      </c>
      <c r="AW251" s="274">
        <v>2.2389999999999999</v>
      </c>
      <c r="AX251" s="274">
        <v>2.3380000000000001</v>
      </c>
      <c r="AY251" s="274">
        <v>2.4390000000000001</v>
      </c>
      <c r="AZ251" s="274">
        <v>2.5409999999999999</v>
      </c>
      <c r="BA251" s="274">
        <v>2.641</v>
      </c>
      <c r="BB251" s="274">
        <v>2.7370000000000001</v>
      </c>
      <c r="BC251" s="274">
        <v>2.8180000000000001</v>
      </c>
      <c r="BD251" s="274">
        <v>2.8809999999999998</v>
      </c>
      <c r="BE251" s="274">
        <v>2.9239999999999999</v>
      </c>
      <c r="BF251" s="274">
        <v>2.9470000000000001</v>
      </c>
      <c r="BG251" s="274">
        <v>2.9540000000000002</v>
      </c>
      <c r="BH251" s="274">
        <v>2.9510000000000001</v>
      </c>
      <c r="BI251" s="274">
        <v>2.9420000000000002</v>
      </c>
      <c r="BJ251" s="274">
        <v>2.927</v>
      </c>
      <c r="BK251" s="274">
        <v>2.907</v>
      </c>
      <c r="BL251" s="274">
        <v>2.8849999999999998</v>
      </c>
      <c r="BM251" s="274">
        <v>2.867</v>
      </c>
      <c r="BN251" s="274">
        <v>2.8559999999999999</v>
      </c>
      <c r="BO251" s="274">
        <v>2.855</v>
      </c>
      <c r="BP251" s="274">
        <v>2.863</v>
      </c>
      <c r="BQ251" s="274">
        <v>2.8769999999999998</v>
      </c>
      <c r="BR251" s="274">
        <v>2.891</v>
      </c>
      <c r="BS251" s="274">
        <v>2.903</v>
      </c>
    </row>
    <row r="252" spans="1:71" x14ac:dyDescent="0.4">
      <c r="A252" s="270">
        <v>233</v>
      </c>
      <c r="B252" s="271" t="s">
        <v>890</v>
      </c>
      <c r="C252" s="276" t="s">
        <v>960</v>
      </c>
      <c r="D252" s="273"/>
      <c r="E252" s="273">
        <v>254</v>
      </c>
      <c r="F252" s="274">
        <v>25.478999999999999</v>
      </c>
      <c r="G252" s="274">
        <v>26.245999999999999</v>
      </c>
      <c r="H252" s="274">
        <v>26.895</v>
      </c>
      <c r="I252" s="274">
        <v>27.463000000000001</v>
      </c>
      <c r="J252" s="274">
        <v>27.984999999999999</v>
      </c>
      <c r="K252" s="274">
        <v>28.495999999999999</v>
      </c>
      <c r="L252" s="274">
        <v>29.03</v>
      </c>
      <c r="M252" s="274">
        <v>29.620999999999999</v>
      </c>
      <c r="N252" s="274">
        <v>30.3</v>
      </c>
      <c r="O252" s="274">
        <v>31.097000000000001</v>
      </c>
      <c r="P252" s="274">
        <v>32.033999999999999</v>
      </c>
      <c r="Q252" s="274">
        <v>33.125999999999998</v>
      </c>
      <c r="R252" s="274">
        <v>34.375999999999998</v>
      </c>
      <c r="S252" s="274">
        <v>35.768000000000001</v>
      </c>
      <c r="T252" s="274">
        <v>37.281999999999996</v>
      </c>
      <c r="U252" s="274">
        <v>38.896999999999998</v>
      </c>
      <c r="V252" s="274">
        <v>40.619</v>
      </c>
      <c r="W252" s="274">
        <v>42.441000000000003</v>
      </c>
      <c r="X252" s="274">
        <v>44.31</v>
      </c>
      <c r="Y252" s="274">
        <v>46.155999999999999</v>
      </c>
      <c r="Z252" s="274">
        <v>47.929000000000002</v>
      </c>
      <c r="AA252" s="274">
        <v>49.624000000000002</v>
      </c>
      <c r="AB252" s="274">
        <v>51.265999999999998</v>
      </c>
      <c r="AC252" s="274">
        <v>52.883000000000003</v>
      </c>
      <c r="AD252" s="274">
        <v>54.52</v>
      </c>
      <c r="AE252" s="274">
        <v>56.220999999999997</v>
      </c>
      <c r="AF252" s="274">
        <v>57.996000000000002</v>
      </c>
      <c r="AG252" s="274">
        <v>59.875</v>
      </c>
      <c r="AH252" s="274">
        <v>61.935000000000002</v>
      </c>
      <c r="AI252" s="274">
        <v>64.275999999999996</v>
      </c>
      <c r="AJ252" s="274">
        <v>66.974999999999994</v>
      </c>
      <c r="AK252" s="274">
        <v>70.024000000000001</v>
      </c>
      <c r="AL252" s="274">
        <v>73.417000000000002</v>
      </c>
      <c r="AM252" s="274">
        <v>77.233000000000004</v>
      </c>
      <c r="AN252" s="274">
        <v>81.561000000000007</v>
      </c>
      <c r="AO252" s="274">
        <v>86.44</v>
      </c>
      <c r="AP252" s="274">
        <v>91.941999999999993</v>
      </c>
      <c r="AQ252" s="274">
        <v>97.975999999999999</v>
      </c>
      <c r="AR252" s="274">
        <v>104.227</v>
      </c>
      <c r="AS252" s="274">
        <v>110.262</v>
      </c>
      <c r="AT252" s="274">
        <v>115.782</v>
      </c>
      <c r="AU252" s="274">
        <v>120.685</v>
      </c>
      <c r="AV252" s="274">
        <v>125.083</v>
      </c>
      <c r="AW252" s="274">
        <v>129.15600000000001</v>
      </c>
      <c r="AX252" s="274">
        <v>133.18700000000001</v>
      </c>
      <c r="AY252" s="274">
        <v>137.4</v>
      </c>
      <c r="AZ252" s="274">
        <v>141.77600000000001</v>
      </c>
      <c r="BA252" s="274">
        <v>146.29900000000001</v>
      </c>
      <c r="BB252" s="274">
        <v>151.19999999999999</v>
      </c>
      <c r="BC252" s="274">
        <v>156.76400000000001</v>
      </c>
      <c r="BD252" s="274">
        <v>163.16200000000001</v>
      </c>
      <c r="BE252" s="274">
        <v>170.54599999999999</v>
      </c>
      <c r="BF252" s="274">
        <v>178.785</v>
      </c>
      <c r="BG252" s="274">
        <v>187.41900000000001</v>
      </c>
      <c r="BH252" s="274">
        <v>195.80799999999999</v>
      </c>
      <c r="BI252" s="274">
        <v>203.495</v>
      </c>
      <c r="BJ252" s="274">
        <v>210.30099999999999</v>
      </c>
      <c r="BK252" s="274">
        <v>216.38200000000001</v>
      </c>
      <c r="BL252" s="274">
        <v>222.03800000000001</v>
      </c>
      <c r="BM252" s="274">
        <v>227.73099999999999</v>
      </c>
      <c r="BN252" s="274">
        <v>233.79499999999999</v>
      </c>
      <c r="BO252" s="274">
        <v>240.31399999999999</v>
      </c>
      <c r="BP252" s="274">
        <v>247.17599999999999</v>
      </c>
      <c r="BQ252" s="274">
        <v>254.28299999999999</v>
      </c>
      <c r="BR252" s="274">
        <v>261.46600000000001</v>
      </c>
      <c r="BS252" s="274">
        <v>268.60599999999999</v>
      </c>
    </row>
    <row r="253" spans="1:71" x14ac:dyDescent="0.4">
      <c r="A253" s="270">
        <v>234</v>
      </c>
      <c r="B253" s="271" t="s">
        <v>890</v>
      </c>
      <c r="C253" s="276" t="s">
        <v>438</v>
      </c>
      <c r="D253" s="273"/>
      <c r="E253" s="273">
        <v>328</v>
      </c>
      <c r="F253" s="274">
        <v>406.56200000000001</v>
      </c>
      <c r="G253" s="274">
        <v>420.29</v>
      </c>
      <c r="H253" s="274">
        <v>435.85</v>
      </c>
      <c r="I253" s="274">
        <v>452.26</v>
      </c>
      <c r="J253" s="274">
        <v>468.80500000000001</v>
      </c>
      <c r="K253" s="274">
        <v>485.041</v>
      </c>
      <c r="L253" s="274">
        <v>500.80900000000003</v>
      </c>
      <c r="M253" s="274">
        <v>516.21799999999996</v>
      </c>
      <c r="N253" s="274">
        <v>531.60500000000002</v>
      </c>
      <c r="O253" s="274">
        <v>547.46100000000001</v>
      </c>
      <c r="P253" s="274">
        <v>564.22199999999998</v>
      </c>
      <c r="Q253" s="274">
        <v>582.03399999999999</v>
      </c>
      <c r="R253" s="274">
        <v>600.55899999999997</v>
      </c>
      <c r="S253" s="274">
        <v>618.88699999999994</v>
      </c>
      <c r="T253" s="274">
        <v>635.77800000000002</v>
      </c>
      <c r="U253" s="274">
        <v>650.37900000000002</v>
      </c>
      <c r="V253" s="274">
        <v>662.33199999999999</v>
      </c>
      <c r="W253" s="274">
        <v>671.98599999999999</v>
      </c>
      <c r="X253" s="274">
        <v>680.06799999999998</v>
      </c>
      <c r="Y253" s="274">
        <v>687.65800000000002</v>
      </c>
      <c r="Z253" s="274">
        <v>695.56100000000004</v>
      </c>
      <c r="AA253" s="274">
        <v>703.81100000000004</v>
      </c>
      <c r="AB253" s="274">
        <v>712.18799999999999</v>
      </c>
      <c r="AC253" s="274">
        <v>720.91899999999998</v>
      </c>
      <c r="AD253" s="274">
        <v>730.22699999999998</v>
      </c>
      <c r="AE253" s="274">
        <v>740.16700000000003</v>
      </c>
      <c r="AF253" s="274">
        <v>751.00800000000004</v>
      </c>
      <c r="AG253" s="274">
        <v>762.44500000000005</v>
      </c>
      <c r="AH253" s="274">
        <v>773.22699999999998</v>
      </c>
      <c r="AI253" s="274">
        <v>781.67700000000002</v>
      </c>
      <c r="AJ253" s="274">
        <v>786.61400000000003</v>
      </c>
      <c r="AK253" s="274">
        <v>787.72799999999995</v>
      </c>
      <c r="AL253" s="274">
        <v>785.46600000000001</v>
      </c>
      <c r="AM253" s="274">
        <v>780.36699999999996</v>
      </c>
      <c r="AN253" s="274">
        <v>773.30200000000002</v>
      </c>
      <c r="AO253" s="274">
        <v>765.04300000000001</v>
      </c>
      <c r="AP253" s="274">
        <v>755.59799999999996</v>
      </c>
      <c r="AQ253" s="274">
        <v>745.149</v>
      </c>
      <c r="AR253" s="274">
        <v>734.87199999999996</v>
      </c>
      <c r="AS253" s="274">
        <v>726.23699999999997</v>
      </c>
      <c r="AT253" s="274">
        <v>720.28200000000004</v>
      </c>
      <c r="AU253" s="274">
        <v>717.50199999999995</v>
      </c>
      <c r="AV253" s="274">
        <v>717.62099999999998</v>
      </c>
      <c r="AW253" s="274">
        <v>719.91</v>
      </c>
      <c r="AX253" s="274">
        <v>723.23</v>
      </c>
      <c r="AY253" s="274">
        <v>726.69500000000005</v>
      </c>
      <c r="AZ253" s="274">
        <v>730.19299999999998</v>
      </c>
      <c r="BA253" s="274">
        <v>733.85400000000004</v>
      </c>
      <c r="BB253" s="274">
        <v>737.31600000000003</v>
      </c>
      <c r="BC253" s="274">
        <v>740.18899999999996</v>
      </c>
      <c r="BD253" s="274">
        <v>742.21799999999996</v>
      </c>
      <c r="BE253" s="274">
        <v>743.16300000000001</v>
      </c>
      <c r="BF253" s="274">
        <v>743.10699999999997</v>
      </c>
      <c r="BG253" s="274">
        <v>742.53700000000003</v>
      </c>
      <c r="BH253" s="274">
        <v>742.16200000000003</v>
      </c>
      <c r="BI253" s="274">
        <v>742.495</v>
      </c>
      <c r="BJ253" s="274">
        <v>743.70500000000004</v>
      </c>
      <c r="BK253" s="274">
        <v>745.63800000000003</v>
      </c>
      <c r="BL253" s="274">
        <v>748.096</v>
      </c>
      <c r="BM253" s="274">
        <v>750.74900000000002</v>
      </c>
      <c r="BN253" s="274">
        <v>753.36199999999997</v>
      </c>
      <c r="BO253" s="274">
        <v>755.88300000000004</v>
      </c>
      <c r="BP253" s="274">
        <v>758.41</v>
      </c>
      <c r="BQ253" s="274">
        <v>761.03300000000002</v>
      </c>
      <c r="BR253" s="274">
        <v>763.89300000000003</v>
      </c>
      <c r="BS253" s="274">
        <v>767.08500000000004</v>
      </c>
    </row>
    <row r="254" spans="1:71" x14ac:dyDescent="0.4">
      <c r="A254" s="270">
        <v>235</v>
      </c>
      <c r="B254" s="271" t="s">
        <v>890</v>
      </c>
      <c r="C254" s="276" t="s">
        <v>652</v>
      </c>
      <c r="D254" s="273"/>
      <c r="E254" s="273">
        <v>600</v>
      </c>
      <c r="F254" s="274">
        <v>1473.2449999999999</v>
      </c>
      <c r="G254" s="274">
        <v>1511.7639999999999</v>
      </c>
      <c r="H254" s="274">
        <v>1550.7629999999999</v>
      </c>
      <c r="I254" s="274">
        <v>1590.4970000000001</v>
      </c>
      <c r="J254" s="274">
        <v>1631.1859999999999</v>
      </c>
      <c r="K254" s="274">
        <v>1673.0070000000001</v>
      </c>
      <c r="L254" s="274">
        <v>1716.105</v>
      </c>
      <c r="M254" s="274">
        <v>1760.5840000000001</v>
      </c>
      <c r="N254" s="274">
        <v>1806.5150000000001</v>
      </c>
      <c r="O254" s="274">
        <v>1853.9369999999999</v>
      </c>
      <c r="P254" s="274">
        <v>1902.8710000000001</v>
      </c>
      <c r="Q254" s="274">
        <v>1953.3309999999999</v>
      </c>
      <c r="R254" s="274">
        <v>2005.337</v>
      </c>
      <c r="S254" s="274">
        <v>2058.9160000000002</v>
      </c>
      <c r="T254" s="274">
        <v>2114.0949999999998</v>
      </c>
      <c r="U254" s="274">
        <v>2170.8530000000001</v>
      </c>
      <c r="V254" s="274">
        <v>2229.373</v>
      </c>
      <c r="W254" s="274">
        <v>2289.5790000000002</v>
      </c>
      <c r="X254" s="274">
        <v>2350.9</v>
      </c>
      <c r="Y254" s="274">
        <v>2412.5650000000001</v>
      </c>
      <c r="Z254" s="274">
        <v>2474.1019999999999</v>
      </c>
      <c r="AA254" s="274">
        <v>2535.355</v>
      </c>
      <c r="AB254" s="274">
        <v>2596.741</v>
      </c>
      <c r="AC254" s="274">
        <v>2659.0839999999998</v>
      </c>
      <c r="AD254" s="274">
        <v>2723.5230000000001</v>
      </c>
      <c r="AE254" s="274">
        <v>2790.9639999999999</v>
      </c>
      <c r="AF254" s="274">
        <v>2861.5819999999999</v>
      </c>
      <c r="AG254" s="274">
        <v>2935.375</v>
      </c>
      <c r="AH254" s="274">
        <v>3012.8330000000001</v>
      </c>
      <c r="AI254" s="274">
        <v>3094.4789999999998</v>
      </c>
      <c r="AJ254" s="274">
        <v>3180.6280000000002</v>
      </c>
      <c r="AK254" s="274">
        <v>3271.4540000000002</v>
      </c>
      <c r="AL254" s="274">
        <v>3366.7260000000001</v>
      </c>
      <c r="AM254" s="274">
        <v>3465.7959999999998</v>
      </c>
      <c r="AN254" s="274">
        <v>3567.75</v>
      </c>
      <c r="AO254" s="274">
        <v>3671.826</v>
      </c>
      <c r="AP254" s="274">
        <v>3777.7640000000001</v>
      </c>
      <c r="AQ254" s="274">
        <v>3885.433</v>
      </c>
      <c r="AR254" s="274">
        <v>3994.328</v>
      </c>
      <c r="AS254" s="274">
        <v>4103.9089999999997</v>
      </c>
      <c r="AT254" s="274">
        <v>4213.74</v>
      </c>
      <c r="AU254" s="274">
        <v>4323.402</v>
      </c>
      <c r="AV254" s="274">
        <v>4432.7380000000003</v>
      </c>
      <c r="AW254" s="274">
        <v>4541.902</v>
      </c>
      <c r="AX254" s="274">
        <v>4651.2219999999998</v>
      </c>
      <c r="AY254" s="274">
        <v>4760.8530000000001</v>
      </c>
      <c r="AZ254" s="274">
        <v>4870.6949999999997</v>
      </c>
      <c r="BA254" s="274">
        <v>4980.3459999999995</v>
      </c>
      <c r="BB254" s="274">
        <v>5089.3059999999996</v>
      </c>
      <c r="BC254" s="274">
        <v>5196.9350000000004</v>
      </c>
      <c r="BD254" s="274">
        <v>5302.7030000000004</v>
      </c>
      <c r="BE254" s="274">
        <v>5406.625</v>
      </c>
      <c r="BF254" s="274">
        <v>5508.6149999999998</v>
      </c>
      <c r="BG254" s="274">
        <v>5607.9480000000003</v>
      </c>
      <c r="BH254" s="274">
        <v>5703.7420000000002</v>
      </c>
      <c r="BI254" s="274">
        <v>5795.4930000000004</v>
      </c>
      <c r="BJ254" s="274">
        <v>5882.7969999999996</v>
      </c>
      <c r="BK254" s="274">
        <v>5966.16</v>
      </c>
      <c r="BL254" s="274">
        <v>6047.1310000000003</v>
      </c>
      <c r="BM254" s="274">
        <v>6127.8469999999998</v>
      </c>
      <c r="BN254" s="274">
        <v>6209.8770000000004</v>
      </c>
      <c r="BO254" s="274">
        <v>6293.7629999999999</v>
      </c>
      <c r="BP254" s="274">
        <v>6379.1620000000003</v>
      </c>
      <c r="BQ254" s="274">
        <v>6465.6689999999999</v>
      </c>
      <c r="BR254" s="274">
        <v>6552.518</v>
      </c>
      <c r="BS254" s="274">
        <v>6639.1229999999996</v>
      </c>
    </row>
    <row r="255" spans="1:71" x14ac:dyDescent="0.4">
      <c r="A255" s="270">
        <v>236</v>
      </c>
      <c r="B255" s="271" t="s">
        <v>890</v>
      </c>
      <c r="C255" s="276" t="s">
        <v>656</v>
      </c>
      <c r="D255" s="273"/>
      <c r="E255" s="273">
        <v>604</v>
      </c>
      <c r="F255" s="274">
        <v>7727.7349999999997</v>
      </c>
      <c r="G255" s="274">
        <v>7924.2060000000001</v>
      </c>
      <c r="H255" s="274">
        <v>8128.5249999999996</v>
      </c>
      <c r="I255" s="274">
        <v>8340.3790000000008</v>
      </c>
      <c r="J255" s="274">
        <v>8559.7209999999995</v>
      </c>
      <c r="K255" s="274">
        <v>8786.7530000000006</v>
      </c>
      <c r="L255" s="274">
        <v>9021.9599999999991</v>
      </c>
      <c r="M255" s="274">
        <v>9266.0779999999995</v>
      </c>
      <c r="N255" s="274">
        <v>9520.0480000000007</v>
      </c>
      <c r="O255" s="274">
        <v>9784.9089999999997</v>
      </c>
      <c r="P255" s="274">
        <v>10061.519</v>
      </c>
      <c r="Q255" s="274">
        <v>10350.239</v>
      </c>
      <c r="R255" s="274">
        <v>10650.672</v>
      </c>
      <c r="S255" s="274">
        <v>10961.539000000001</v>
      </c>
      <c r="T255" s="274">
        <v>11281.014999999999</v>
      </c>
      <c r="U255" s="274">
        <v>11607.683999999999</v>
      </c>
      <c r="V255" s="274">
        <v>11941.326999999999</v>
      </c>
      <c r="W255" s="274">
        <v>12282.081</v>
      </c>
      <c r="X255" s="274">
        <v>12629.333000000001</v>
      </c>
      <c r="Y255" s="274">
        <v>12982.444</v>
      </c>
      <c r="Z255" s="274">
        <v>13341.071</v>
      </c>
      <c r="AA255" s="274">
        <v>13704.333000000001</v>
      </c>
      <c r="AB255" s="274">
        <v>14072.476000000001</v>
      </c>
      <c r="AC255" s="274">
        <v>14447.648999999999</v>
      </c>
      <c r="AD255" s="274">
        <v>14832.839</v>
      </c>
      <c r="AE255" s="274">
        <v>15229.950999999999</v>
      </c>
      <c r="AF255" s="274">
        <v>15639.897999999999</v>
      </c>
      <c r="AG255" s="274">
        <v>16061.326999999999</v>
      </c>
      <c r="AH255" s="274">
        <v>16491.087</v>
      </c>
      <c r="AI255" s="274">
        <v>16924.758000000002</v>
      </c>
      <c r="AJ255" s="274">
        <v>17359.117999999999</v>
      </c>
      <c r="AK255" s="274">
        <v>17792.550999999999</v>
      </c>
      <c r="AL255" s="274">
        <v>18225.726999999999</v>
      </c>
      <c r="AM255" s="274">
        <v>18660.442999999999</v>
      </c>
      <c r="AN255" s="274">
        <v>19099.575000000001</v>
      </c>
      <c r="AO255" s="274">
        <v>19544.95</v>
      </c>
      <c r="AP255" s="274">
        <v>19996.25</v>
      </c>
      <c r="AQ255" s="274">
        <v>20451.712</v>
      </c>
      <c r="AR255" s="274">
        <v>20909.897000000001</v>
      </c>
      <c r="AS255" s="274">
        <v>21368.856</v>
      </c>
      <c r="AT255" s="274">
        <v>21826.657999999999</v>
      </c>
      <c r="AU255" s="274">
        <v>22283.13</v>
      </c>
      <c r="AV255" s="274">
        <v>22737.056</v>
      </c>
      <c r="AW255" s="274">
        <v>23184.222000000002</v>
      </c>
      <c r="AX255" s="274">
        <v>23619.358</v>
      </c>
      <c r="AY255" s="274">
        <v>24038.760999999999</v>
      </c>
      <c r="AZ255" s="274">
        <v>24441.076000000001</v>
      </c>
      <c r="BA255" s="274">
        <v>24827.409</v>
      </c>
      <c r="BB255" s="274">
        <v>25199.743999999999</v>
      </c>
      <c r="BC255" s="274">
        <v>25561.296999999999</v>
      </c>
      <c r="BD255" s="274">
        <v>25914.875</v>
      </c>
      <c r="BE255" s="274">
        <v>26261.363000000001</v>
      </c>
      <c r="BF255" s="274">
        <v>26601.463</v>
      </c>
      <c r="BG255" s="274">
        <v>26937.737000000001</v>
      </c>
      <c r="BH255" s="274">
        <v>27273.187999999998</v>
      </c>
      <c r="BI255" s="274">
        <v>27610.405999999999</v>
      </c>
      <c r="BJ255" s="274">
        <v>27949.957999999999</v>
      </c>
      <c r="BK255" s="274">
        <v>28292.768</v>
      </c>
      <c r="BL255" s="274">
        <v>28642.047999999999</v>
      </c>
      <c r="BM255" s="274">
        <v>29001.562999999998</v>
      </c>
      <c r="BN255" s="274">
        <v>29373.644</v>
      </c>
      <c r="BO255" s="274">
        <v>29759.891</v>
      </c>
      <c r="BP255" s="274">
        <v>30158.768</v>
      </c>
      <c r="BQ255" s="274">
        <v>30565.460999999999</v>
      </c>
      <c r="BR255" s="274">
        <v>30973.148000000001</v>
      </c>
      <c r="BS255" s="274">
        <v>31376.67</v>
      </c>
    </row>
    <row r="256" spans="1:71" x14ac:dyDescent="0.4">
      <c r="A256" s="270">
        <v>237</v>
      </c>
      <c r="B256" s="271" t="s">
        <v>890</v>
      </c>
      <c r="C256" s="276" t="s">
        <v>767</v>
      </c>
      <c r="D256" s="273"/>
      <c r="E256" s="273">
        <v>740</v>
      </c>
      <c r="F256" s="274">
        <v>214.999</v>
      </c>
      <c r="G256" s="274">
        <v>222.679</v>
      </c>
      <c r="H256" s="274">
        <v>229.65299999999999</v>
      </c>
      <c r="I256" s="274">
        <v>236.34800000000001</v>
      </c>
      <c r="J256" s="274">
        <v>243.08699999999999</v>
      </c>
      <c r="K256" s="274">
        <v>250.09399999999999</v>
      </c>
      <c r="L256" s="274">
        <v>257.48500000000001</v>
      </c>
      <c r="M256" s="274">
        <v>265.27300000000002</v>
      </c>
      <c r="N256" s="274">
        <v>273.38299999999998</v>
      </c>
      <c r="O256" s="274">
        <v>281.66899999999998</v>
      </c>
      <c r="P256" s="274">
        <v>289.97199999999998</v>
      </c>
      <c r="Q256" s="274">
        <v>298.19</v>
      </c>
      <c r="R256" s="274">
        <v>306.33</v>
      </c>
      <c r="S256" s="274">
        <v>314.52999999999997</v>
      </c>
      <c r="T256" s="274">
        <v>322.995</v>
      </c>
      <c r="U256" s="274">
        <v>331.79899999999998</v>
      </c>
      <c r="V256" s="274">
        <v>341.137</v>
      </c>
      <c r="W256" s="274">
        <v>350.755</v>
      </c>
      <c r="X256" s="274">
        <v>359.73500000000001</v>
      </c>
      <c r="Y256" s="274">
        <v>366.84500000000003</v>
      </c>
      <c r="Z256" s="274">
        <v>371.26799999999997</v>
      </c>
      <c r="AA256" s="274">
        <v>372.61900000000003</v>
      </c>
      <c r="AB256" s="274">
        <v>371.31799999999998</v>
      </c>
      <c r="AC256" s="274">
        <v>368.34199999999998</v>
      </c>
      <c r="AD256" s="274">
        <v>365.10399999999998</v>
      </c>
      <c r="AE256" s="274">
        <v>362.65100000000001</v>
      </c>
      <c r="AF256" s="274">
        <v>361.36799999999999</v>
      </c>
      <c r="AG256" s="274">
        <v>361.053</v>
      </c>
      <c r="AH256" s="274">
        <v>361.46300000000002</v>
      </c>
      <c r="AI256" s="274">
        <v>362.137</v>
      </c>
      <c r="AJ256" s="274">
        <v>362.77699999999999</v>
      </c>
      <c r="AK256" s="274">
        <v>363.30900000000003</v>
      </c>
      <c r="AL256" s="274">
        <v>363.99299999999999</v>
      </c>
      <c r="AM256" s="274">
        <v>365.24200000000002</v>
      </c>
      <c r="AN256" s="274">
        <v>367.61099999999999</v>
      </c>
      <c r="AO256" s="274">
        <v>371.46899999999999</v>
      </c>
      <c r="AP256" s="274">
        <v>376.97300000000001</v>
      </c>
      <c r="AQ256" s="274">
        <v>383.916</v>
      </c>
      <c r="AR256" s="274">
        <v>391.851</v>
      </c>
      <c r="AS256" s="274">
        <v>400.13299999999998</v>
      </c>
      <c r="AT256" s="274">
        <v>408.27600000000001</v>
      </c>
      <c r="AU256" s="274">
        <v>416.06799999999998</v>
      </c>
      <c r="AV256" s="274">
        <v>423.572</v>
      </c>
      <c r="AW256" s="274">
        <v>430.90100000000001</v>
      </c>
      <c r="AX256" s="274">
        <v>438.28</v>
      </c>
      <c r="AY256" s="274">
        <v>445.83</v>
      </c>
      <c r="AZ256" s="274">
        <v>453.65300000000002</v>
      </c>
      <c r="BA256" s="274">
        <v>461.56900000000002</v>
      </c>
      <c r="BB256" s="274">
        <v>469.108</v>
      </c>
      <c r="BC256" s="274">
        <v>475.637</v>
      </c>
      <c r="BD256" s="274">
        <v>480.75099999999998</v>
      </c>
      <c r="BE256" s="274">
        <v>484.21</v>
      </c>
      <c r="BF256" s="274">
        <v>486.27100000000002</v>
      </c>
      <c r="BG256" s="274">
        <v>487.64100000000002</v>
      </c>
      <c r="BH256" s="274">
        <v>489.31200000000001</v>
      </c>
      <c r="BI256" s="274">
        <v>491.99900000000002</v>
      </c>
      <c r="BJ256" s="274">
        <v>495.95299999999997</v>
      </c>
      <c r="BK256" s="274">
        <v>500.95299999999997</v>
      </c>
      <c r="BL256" s="274">
        <v>506.65699999999998</v>
      </c>
      <c r="BM256" s="274">
        <v>512.52200000000005</v>
      </c>
      <c r="BN256" s="274">
        <v>518.14099999999996</v>
      </c>
      <c r="BO256" s="274">
        <v>523.43899999999996</v>
      </c>
      <c r="BP256" s="274">
        <v>528.53499999999997</v>
      </c>
      <c r="BQ256" s="274">
        <v>533.45000000000005</v>
      </c>
      <c r="BR256" s="274">
        <v>538.24800000000005</v>
      </c>
      <c r="BS256" s="274">
        <v>542.97500000000002</v>
      </c>
    </row>
    <row r="257" spans="1:71" x14ac:dyDescent="0.4">
      <c r="A257" s="270">
        <v>238</v>
      </c>
      <c r="B257" s="271" t="s">
        <v>890</v>
      </c>
      <c r="C257" s="276" t="s">
        <v>845</v>
      </c>
      <c r="D257" s="273"/>
      <c r="E257" s="273">
        <v>858</v>
      </c>
      <c r="F257" s="274">
        <v>2238.5059999999999</v>
      </c>
      <c r="G257" s="274">
        <v>2261.3420000000001</v>
      </c>
      <c r="H257" s="274">
        <v>2286.2640000000001</v>
      </c>
      <c r="I257" s="274">
        <v>2313.2080000000001</v>
      </c>
      <c r="J257" s="274">
        <v>2342.0439999999999</v>
      </c>
      <c r="K257" s="274">
        <v>2372.567</v>
      </c>
      <c r="L257" s="274">
        <v>2404.5</v>
      </c>
      <c r="M257" s="274">
        <v>2437.498</v>
      </c>
      <c r="N257" s="274">
        <v>2471.152</v>
      </c>
      <c r="O257" s="274">
        <v>2505.0160000000001</v>
      </c>
      <c r="P257" s="274">
        <v>2538.6509999999998</v>
      </c>
      <c r="Q257" s="274">
        <v>2571.6909999999998</v>
      </c>
      <c r="R257" s="274">
        <v>2603.8870000000002</v>
      </c>
      <c r="S257" s="274">
        <v>2635.1280000000002</v>
      </c>
      <c r="T257" s="274">
        <v>2665.3870000000002</v>
      </c>
      <c r="U257" s="274">
        <v>2694.5349999999999</v>
      </c>
      <c r="V257" s="274">
        <v>2722.8739999999998</v>
      </c>
      <c r="W257" s="274">
        <v>2750.0929999999998</v>
      </c>
      <c r="X257" s="274">
        <v>2774.7710000000002</v>
      </c>
      <c r="Y257" s="274">
        <v>2795.0439999999999</v>
      </c>
      <c r="Z257" s="274">
        <v>2809.799</v>
      </c>
      <c r="AA257" s="274">
        <v>2818.2689999999998</v>
      </c>
      <c r="AB257" s="274">
        <v>2821.4369999999999</v>
      </c>
      <c r="AC257" s="274">
        <v>2822.0839999999998</v>
      </c>
      <c r="AD257" s="274">
        <v>2824.069</v>
      </c>
      <c r="AE257" s="274">
        <v>2830.172</v>
      </c>
      <c r="AF257" s="274">
        <v>2841.4360000000001</v>
      </c>
      <c r="AG257" s="274">
        <v>2857.107</v>
      </c>
      <c r="AH257" s="274">
        <v>2875.97</v>
      </c>
      <c r="AI257" s="274">
        <v>2896.0210000000002</v>
      </c>
      <c r="AJ257" s="274">
        <v>2915.7750000000001</v>
      </c>
      <c r="AK257" s="274">
        <v>2935.0360000000001</v>
      </c>
      <c r="AL257" s="274">
        <v>2954.2809999999999</v>
      </c>
      <c r="AM257" s="274">
        <v>2973.4609999999998</v>
      </c>
      <c r="AN257" s="274">
        <v>2992.6480000000001</v>
      </c>
      <c r="AO257" s="274">
        <v>3011.9070000000002</v>
      </c>
      <c r="AP257" s="274">
        <v>3031.0320000000002</v>
      </c>
      <c r="AQ257" s="274">
        <v>3049.962</v>
      </c>
      <c r="AR257" s="274">
        <v>3069.0940000000001</v>
      </c>
      <c r="AS257" s="274">
        <v>3088.9850000000001</v>
      </c>
      <c r="AT257" s="274">
        <v>3109.9870000000001</v>
      </c>
      <c r="AU257" s="274">
        <v>3132.0479999999998</v>
      </c>
      <c r="AV257" s="274">
        <v>3154.8530000000001</v>
      </c>
      <c r="AW257" s="274">
        <v>3178.1559999999999</v>
      </c>
      <c r="AX257" s="274">
        <v>3201.6039999999998</v>
      </c>
      <c r="AY257" s="274">
        <v>3224.8069999999998</v>
      </c>
      <c r="AZ257" s="274">
        <v>3248.0390000000002</v>
      </c>
      <c r="BA257" s="274">
        <v>3271.0140000000001</v>
      </c>
      <c r="BB257" s="274">
        <v>3292.134</v>
      </c>
      <c r="BC257" s="274">
        <v>3309.3180000000002</v>
      </c>
      <c r="BD257" s="274">
        <v>3321.2420000000002</v>
      </c>
      <c r="BE257" s="274">
        <v>3327.105</v>
      </c>
      <c r="BF257" s="274">
        <v>3327.77</v>
      </c>
      <c r="BG257" s="274">
        <v>3325.6370000000002</v>
      </c>
      <c r="BH257" s="274">
        <v>3324.096</v>
      </c>
      <c r="BI257" s="274">
        <v>3325.6080000000002</v>
      </c>
      <c r="BJ257" s="274">
        <v>3331.0410000000002</v>
      </c>
      <c r="BK257" s="274">
        <v>3339.75</v>
      </c>
      <c r="BL257" s="274">
        <v>3350.8319999999999</v>
      </c>
      <c r="BM257" s="274">
        <v>3362.761</v>
      </c>
      <c r="BN257" s="274">
        <v>3374.4140000000002</v>
      </c>
      <c r="BO257" s="274">
        <v>3385.61</v>
      </c>
      <c r="BP257" s="274">
        <v>3396.7530000000002</v>
      </c>
      <c r="BQ257" s="274">
        <v>3407.9690000000001</v>
      </c>
      <c r="BR257" s="274">
        <v>3419.5160000000001</v>
      </c>
      <c r="BS257" s="274">
        <v>3431.5549999999998</v>
      </c>
    </row>
    <row r="258" spans="1:71" x14ac:dyDescent="0.4">
      <c r="A258" s="270">
        <v>239</v>
      </c>
      <c r="B258" s="271" t="s">
        <v>890</v>
      </c>
      <c r="C258" s="276" t="s">
        <v>857</v>
      </c>
      <c r="D258" s="273"/>
      <c r="E258" s="273">
        <v>862</v>
      </c>
      <c r="F258" s="274">
        <v>5481.9769999999999</v>
      </c>
      <c r="G258" s="274">
        <v>5735.1679999999997</v>
      </c>
      <c r="H258" s="274">
        <v>5989.5550000000003</v>
      </c>
      <c r="I258" s="274">
        <v>6244.652</v>
      </c>
      <c r="J258" s="274">
        <v>6500.6419999999998</v>
      </c>
      <c r="K258" s="274">
        <v>6758.3720000000003</v>
      </c>
      <c r="L258" s="274">
        <v>7019.4059999999999</v>
      </c>
      <c r="M258" s="274">
        <v>7285.9740000000002</v>
      </c>
      <c r="N258" s="274">
        <v>7560.8209999999999</v>
      </c>
      <c r="O258" s="274">
        <v>7846.9470000000001</v>
      </c>
      <c r="P258" s="274">
        <v>8146.8450000000003</v>
      </c>
      <c r="Q258" s="274">
        <v>8461.6839999999993</v>
      </c>
      <c r="R258" s="274">
        <v>8790.59</v>
      </c>
      <c r="S258" s="274">
        <v>9130.3459999999995</v>
      </c>
      <c r="T258" s="274">
        <v>9476.2549999999992</v>
      </c>
      <c r="U258" s="274">
        <v>9824.6939999999995</v>
      </c>
      <c r="V258" s="274">
        <v>10175.143</v>
      </c>
      <c r="W258" s="274">
        <v>10528.054</v>
      </c>
      <c r="X258" s="274">
        <v>10881.995000000001</v>
      </c>
      <c r="Y258" s="274">
        <v>11235.492</v>
      </c>
      <c r="Z258" s="274">
        <v>11587.758</v>
      </c>
      <c r="AA258" s="274">
        <v>11937.803</v>
      </c>
      <c r="AB258" s="274">
        <v>12286.433999999999</v>
      </c>
      <c r="AC258" s="274">
        <v>12636.971</v>
      </c>
      <c r="AD258" s="274">
        <v>12994.025</v>
      </c>
      <c r="AE258" s="274">
        <v>13360.987999999999</v>
      </c>
      <c r="AF258" s="274">
        <v>13739.142</v>
      </c>
      <c r="AG258" s="274">
        <v>14127.79</v>
      </c>
      <c r="AH258" s="274">
        <v>14525.929</v>
      </c>
      <c r="AI258" s="274">
        <v>14931.741</v>
      </c>
      <c r="AJ258" s="274">
        <v>15343.916999999999</v>
      </c>
      <c r="AK258" s="274">
        <v>15761.8</v>
      </c>
      <c r="AL258" s="274">
        <v>16185.895</v>
      </c>
      <c r="AM258" s="274">
        <v>16617.343000000001</v>
      </c>
      <c r="AN258" s="274">
        <v>17057.786</v>
      </c>
      <c r="AO258" s="274">
        <v>17508.059000000001</v>
      </c>
      <c r="AP258" s="274">
        <v>17968.53</v>
      </c>
      <c r="AQ258" s="274">
        <v>18437.737000000001</v>
      </c>
      <c r="AR258" s="274">
        <v>18912.431</v>
      </c>
      <c r="AS258" s="274">
        <v>19388.261999999999</v>
      </c>
      <c r="AT258" s="274">
        <v>19861.958999999999</v>
      </c>
      <c r="AU258" s="274">
        <v>20332.246999999999</v>
      </c>
      <c r="AV258" s="274">
        <v>20799.471000000001</v>
      </c>
      <c r="AW258" s="274">
        <v>21263.993999999999</v>
      </c>
      <c r="AX258" s="274">
        <v>21726.808000000001</v>
      </c>
      <c r="AY258" s="274">
        <v>22188.670999999998</v>
      </c>
      <c r="AZ258" s="274">
        <v>22649.212</v>
      </c>
      <c r="BA258" s="274">
        <v>23108.003000000001</v>
      </c>
      <c r="BB258" s="274">
        <v>23565.734</v>
      </c>
      <c r="BC258" s="274">
        <v>24023.355</v>
      </c>
      <c r="BD258" s="274">
        <v>24481.476999999999</v>
      </c>
      <c r="BE258" s="274">
        <v>24940.223000000002</v>
      </c>
      <c r="BF258" s="274">
        <v>25399.143</v>
      </c>
      <c r="BG258" s="274">
        <v>25857.553</v>
      </c>
      <c r="BH258" s="274">
        <v>26314.483</v>
      </c>
      <c r="BI258" s="274">
        <v>26769.115000000002</v>
      </c>
      <c r="BJ258" s="274">
        <v>27221.227999999999</v>
      </c>
      <c r="BK258" s="274">
        <v>27670.659</v>
      </c>
      <c r="BL258" s="274">
        <v>28116.716</v>
      </c>
      <c r="BM258" s="274">
        <v>28558.607</v>
      </c>
      <c r="BN258" s="274">
        <v>28995.744999999999</v>
      </c>
      <c r="BO258" s="274">
        <v>29427.631000000001</v>
      </c>
      <c r="BP258" s="274">
        <v>29854.238000000001</v>
      </c>
      <c r="BQ258" s="274">
        <v>30276.044999999998</v>
      </c>
      <c r="BR258" s="274">
        <v>30693.827000000001</v>
      </c>
      <c r="BS258" s="274">
        <v>31108.082999999999</v>
      </c>
    </row>
    <row r="259" spans="1:71" x14ac:dyDescent="0.4">
      <c r="A259" s="270">
        <v>240</v>
      </c>
      <c r="B259" s="271" t="s">
        <v>890</v>
      </c>
      <c r="C259" s="272" t="s">
        <v>961</v>
      </c>
      <c r="D259" s="273"/>
      <c r="E259" s="273">
        <v>905</v>
      </c>
      <c r="F259" s="274">
        <v>171614.86799999999</v>
      </c>
      <c r="G259" s="274">
        <v>174046.644</v>
      </c>
      <c r="H259" s="274">
        <v>176828.951</v>
      </c>
      <c r="I259" s="274">
        <v>179892.09400000001</v>
      </c>
      <c r="J259" s="274">
        <v>183170.26800000001</v>
      </c>
      <c r="K259" s="274">
        <v>186601.565</v>
      </c>
      <c r="L259" s="274">
        <v>190127.83199999999</v>
      </c>
      <c r="M259" s="274">
        <v>193694.80499999999</v>
      </c>
      <c r="N259" s="274">
        <v>197252.50899999999</v>
      </c>
      <c r="O259" s="274">
        <v>200755.90400000001</v>
      </c>
      <c r="P259" s="274">
        <v>204166.861</v>
      </c>
      <c r="Q259" s="274">
        <v>207456.25700000001</v>
      </c>
      <c r="R259" s="274">
        <v>210605.80799999999</v>
      </c>
      <c r="S259" s="274">
        <v>213608.86600000001</v>
      </c>
      <c r="T259" s="274">
        <v>216468.18</v>
      </c>
      <c r="U259" s="274">
        <v>219189.33900000001</v>
      </c>
      <c r="V259" s="274">
        <v>221765.16099999999</v>
      </c>
      <c r="W259" s="274">
        <v>224199.66</v>
      </c>
      <c r="X259" s="274">
        <v>226526.18100000001</v>
      </c>
      <c r="Y259" s="274">
        <v>228790.33</v>
      </c>
      <c r="Z259" s="274">
        <v>231028.82500000001</v>
      </c>
      <c r="AA259" s="274">
        <v>233253.845</v>
      </c>
      <c r="AB259" s="274">
        <v>235468.65599999999</v>
      </c>
      <c r="AC259" s="274">
        <v>237690.1</v>
      </c>
      <c r="AD259" s="274">
        <v>239934.69200000001</v>
      </c>
      <c r="AE259" s="274">
        <v>242214.62899999999</v>
      </c>
      <c r="AF259" s="274">
        <v>244544.258</v>
      </c>
      <c r="AG259" s="274">
        <v>246926.32800000001</v>
      </c>
      <c r="AH259" s="274">
        <v>249346.478</v>
      </c>
      <c r="AI259" s="274">
        <v>251781.74299999999</v>
      </c>
      <c r="AJ259" s="274">
        <v>254217.16099999999</v>
      </c>
      <c r="AK259" s="274">
        <v>256648.28</v>
      </c>
      <c r="AL259" s="274">
        <v>259086.318</v>
      </c>
      <c r="AM259" s="274">
        <v>261550.64300000001</v>
      </c>
      <c r="AN259" s="274">
        <v>264068.098</v>
      </c>
      <c r="AO259" s="274">
        <v>266657.94900000002</v>
      </c>
      <c r="AP259" s="274">
        <v>269332.62300000002</v>
      </c>
      <c r="AQ259" s="274">
        <v>272087.67</v>
      </c>
      <c r="AR259" s="274">
        <v>274905.473</v>
      </c>
      <c r="AS259" s="274">
        <v>277759.40000000002</v>
      </c>
      <c r="AT259" s="274">
        <v>280633.06300000002</v>
      </c>
      <c r="AU259" s="274">
        <v>283504.65500000003</v>
      </c>
      <c r="AV259" s="274">
        <v>286385.88699999999</v>
      </c>
      <c r="AW259" s="274">
        <v>289332.52899999998</v>
      </c>
      <c r="AX259" s="274">
        <v>292421.641</v>
      </c>
      <c r="AY259" s="274">
        <v>295699.81</v>
      </c>
      <c r="AZ259" s="274">
        <v>299199.29300000001</v>
      </c>
      <c r="BA259" s="274">
        <v>302879.38</v>
      </c>
      <c r="BB259" s="274">
        <v>306624.98700000002</v>
      </c>
      <c r="BC259" s="274">
        <v>310277.11099999998</v>
      </c>
      <c r="BD259" s="274">
        <v>313724.12400000001</v>
      </c>
      <c r="BE259" s="274">
        <v>316914.46299999999</v>
      </c>
      <c r="BF259" s="274">
        <v>319886.82</v>
      </c>
      <c r="BG259" s="274">
        <v>322729.92700000003</v>
      </c>
      <c r="BH259" s="274">
        <v>325577.65399999998</v>
      </c>
      <c r="BI259" s="274">
        <v>328524.304</v>
      </c>
      <c r="BJ259" s="274">
        <v>331600.23800000001</v>
      </c>
      <c r="BK259" s="274">
        <v>334766.27899999998</v>
      </c>
      <c r="BL259" s="274">
        <v>337964.08299999998</v>
      </c>
      <c r="BM259" s="274">
        <v>341105.761</v>
      </c>
      <c r="BN259" s="274">
        <v>344129.11700000003</v>
      </c>
      <c r="BO259" s="274">
        <v>347016.56599999999</v>
      </c>
      <c r="BP259" s="274">
        <v>349793.41399999999</v>
      </c>
      <c r="BQ259" s="274">
        <v>352491.84399999998</v>
      </c>
      <c r="BR259" s="274">
        <v>355161.29300000001</v>
      </c>
      <c r="BS259" s="274">
        <v>357838.03600000002</v>
      </c>
    </row>
    <row r="260" spans="1:71" x14ac:dyDescent="0.4">
      <c r="A260" s="270">
        <v>241</v>
      </c>
      <c r="B260" s="271" t="s">
        <v>890</v>
      </c>
      <c r="C260" s="276" t="s">
        <v>962</v>
      </c>
      <c r="D260" s="273"/>
      <c r="E260" s="273">
        <v>60</v>
      </c>
      <c r="F260" s="274">
        <v>37.26</v>
      </c>
      <c r="G260" s="274">
        <v>37.819000000000003</v>
      </c>
      <c r="H260" s="274">
        <v>38.473999999999997</v>
      </c>
      <c r="I260" s="274">
        <v>39.195999999999998</v>
      </c>
      <c r="J260" s="274">
        <v>39.963000000000001</v>
      </c>
      <c r="K260" s="274">
        <v>40.758000000000003</v>
      </c>
      <c r="L260" s="274">
        <v>41.569000000000003</v>
      </c>
      <c r="M260" s="274">
        <v>42.393000000000001</v>
      </c>
      <c r="N260" s="274">
        <v>43.228999999999999</v>
      </c>
      <c r="O260" s="274">
        <v>44.079000000000001</v>
      </c>
      <c r="P260" s="274">
        <v>44.948</v>
      </c>
      <c r="Q260" s="274">
        <v>45.834000000000003</v>
      </c>
      <c r="R260" s="274">
        <v>46.723999999999997</v>
      </c>
      <c r="S260" s="274">
        <v>47.600999999999999</v>
      </c>
      <c r="T260" s="274">
        <v>48.436</v>
      </c>
      <c r="U260" s="274">
        <v>49.210999999999999</v>
      </c>
      <c r="V260" s="274">
        <v>49.915999999999997</v>
      </c>
      <c r="W260" s="274">
        <v>50.555</v>
      </c>
      <c r="X260" s="274">
        <v>51.148000000000003</v>
      </c>
      <c r="Y260" s="274">
        <v>51.719000000000001</v>
      </c>
      <c r="Z260" s="274">
        <v>52.286000000000001</v>
      </c>
      <c r="AA260" s="274">
        <v>52.856999999999999</v>
      </c>
      <c r="AB260" s="274">
        <v>53.426000000000002</v>
      </c>
      <c r="AC260" s="274">
        <v>53.98</v>
      </c>
      <c r="AD260" s="274">
        <v>54.506999999999998</v>
      </c>
      <c r="AE260" s="274">
        <v>54.994</v>
      </c>
      <c r="AF260" s="274">
        <v>55.439</v>
      </c>
      <c r="AG260" s="274">
        <v>55.850999999999999</v>
      </c>
      <c r="AH260" s="274">
        <v>56.237000000000002</v>
      </c>
      <c r="AI260" s="274">
        <v>56.613</v>
      </c>
      <c r="AJ260" s="274">
        <v>56.99</v>
      </c>
      <c r="AK260" s="274">
        <v>57.37</v>
      </c>
      <c r="AL260" s="274">
        <v>57.752000000000002</v>
      </c>
      <c r="AM260" s="274">
        <v>58.137999999999998</v>
      </c>
      <c r="AN260" s="274">
        <v>58.527999999999999</v>
      </c>
      <c r="AO260" s="274">
        <v>58.923000000000002</v>
      </c>
      <c r="AP260" s="274">
        <v>59.323999999999998</v>
      </c>
      <c r="AQ260" s="274">
        <v>59.73</v>
      </c>
      <c r="AR260" s="274">
        <v>60.137999999999998</v>
      </c>
      <c r="AS260" s="274">
        <v>60.539000000000001</v>
      </c>
      <c r="AT260" s="274">
        <v>60.930999999999997</v>
      </c>
      <c r="AU260" s="274">
        <v>61.311</v>
      </c>
      <c r="AV260" s="274">
        <v>61.68</v>
      </c>
      <c r="AW260" s="274">
        <v>62.036000000000001</v>
      </c>
      <c r="AX260" s="274">
        <v>62.374000000000002</v>
      </c>
      <c r="AY260" s="274">
        <v>62.694000000000003</v>
      </c>
      <c r="AZ260" s="274">
        <v>62.988999999999997</v>
      </c>
      <c r="BA260" s="274">
        <v>63.256999999999998</v>
      </c>
      <c r="BB260" s="274">
        <v>63.511000000000003</v>
      </c>
      <c r="BC260" s="274">
        <v>63.768000000000001</v>
      </c>
      <c r="BD260" s="274">
        <v>64.034999999999997</v>
      </c>
      <c r="BE260" s="274">
        <v>64.320999999999998</v>
      </c>
      <c r="BF260" s="274">
        <v>64.614000000000004</v>
      </c>
      <c r="BG260" s="274">
        <v>64.875</v>
      </c>
      <c r="BH260" s="274">
        <v>65.058000000000007</v>
      </c>
      <c r="BI260" s="274">
        <v>65.123999999999995</v>
      </c>
      <c r="BJ260" s="274">
        <v>65.063999999999993</v>
      </c>
      <c r="BK260" s="274">
        <v>64.891000000000005</v>
      </c>
      <c r="BL260" s="274">
        <v>64.626999999999995</v>
      </c>
      <c r="BM260" s="274">
        <v>64.305999999999997</v>
      </c>
      <c r="BN260" s="274">
        <v>63.954000000000001</v>
      </c>
      <c r="BO260" s="274">
        <v>63.578000000000003</v>
      </c>
      <c r="BP260" s="274">
        <v>63.179000000000002</v>
      </c>
      <c r="BQ260" s="274">
        <v>62.773000000000003</v>
      </c>
      <c r="BR260" s="274">
        <v>62.375999999999998</v>
      </c>
      <c r="BS260" s="274">
        <v>62.003999999999998</v>
      </c>
    </row>
    <row r="261" spans="1:71" x14ac:dyDescent="0.4">
      <c r="A261" s="270">
        <v>242</v>
      </c>
      <c r="B261" s="271" t="s">
        <v>890</v>
      </c>
      <c r="C261" s="276" t="s">
        <v>300</v>
      </c>
      <c r="D261" s="273"/>
      <c r="E261" s="273">
        <v>124</v>
      </c>
      <c r="F261" s="274">
        <v>13736.996999999999</v>
      </c>
      <c r="G261" s="274">
        <v>14099.994000000001</v>
      </c>
      <c r="H261" s="274">
        <v>14481.496999999999</v>
      </c>
      <c r="I261" s="274">
        <v>14882.05</v>
      </c>
      <c r="J261" s="274">
        <v>15300.472</v>
      </c>
      <c r="K261" s="274">
        <v>15733.858</v>
      </c>
      <c r="L261" s="274">
        <v>16177.450999999999</v>
      </c>
      <c r="M261" s="274">
        <v>16624.767</v>
      </c>
      <c r="N261" s="274">
        <v>17067.983</v>
      </c>
      <c r="O261" s="274">
        <v>17498.573</v>
      </c>
      <c r="P261" s="274">
        <v>17909.232</v>
      </c>
      <c r="Q261" s="274">
        <v>18295.921999999999</v>
      </c>
      <c r="R261" s="274">
        <v>18659.663</v>
      </c>
      <c r="S261" s="274">
        <v>19007.305</v>
      </c>
      <c r="T261" s="274">
        <v>19349.346000000001</v>
      </c>
      <c r="U261" s="274">
        <v>19693.538</v>
      </c>
      <c r="V261" s="274">
        <v>20041.006000000001</v>
      </c>
      <c r="W261" s="274">
        <v>20389.445</v>
      </c>
      <c r="X261" s="274">
        <v>20739.030999999999</v>
      </c>
      <c r="Y261" s="274">
        <v>21089.227999999999</v>
      </c>
      <c r="Z261" s="274">
        <v>21439.200000000001</v>
      </c>
      <c r="AA261" s="274">
        <v>21790.338</v>
      </c>
      <c r="AB261" s="274">
        <v>22141.998</v>
      </c>
      <c r="AC261" s="274">
        <v>22488.743999999999</v>
      </c>
      <c r="AD261" s="274">
        <v>22823.272000000001</v>
      </c>
      <c r="AE261" s="274">
        <v>23140.609</v>
      </c>
      <c r="AF261" s="274">
        <v>23439.94</v>
      </c>
      <c r="AG261" s="274">
        <v>23723.800999999999</v>
      </c>
      <c r="AH261" s="274">
        <v>23994.948</v>
      </c>
      <c r="AI261" s="274">
        <v>24257.594000000001</v>
      </c>
      <c r="AJ261" s="274">
        <v>24515.788</v>
      </c>
      <c r="AK261" s="274">
        <v>24768.525000000001</v>
      </c>
      <c r="AL261" s="274">
        <v>25017.501</v>
      </c>
      <c r="AM261" s="274">
        <v>25272.655999999999</v>
      </c>
      <c r="AN261" s="274">
        <v>25546.736000000001</v>
      </c>
      <c r="AO261" s="274">
        <v>25848.172999999999</v>
      </c>
      <c r="AP261" s="274">
        <v>26181.342000000001</v>
      </c>
      <c r="AQ261" s="274">
        <v>26541.981</v>
      </c>
      <c r="AR261" s="274">
        <v>26919.036</v>
      </c>
      <c r="AS261" s="274">
        <v>27296.517</v>
      </c>
      <c r="AT261" s="274">
        <v>27662.44</v>
      </c>
      <c r="AU261" s="274">
        <v>28014.101999999999</v>
      </c>
      <c r="AV261" s="274">
        <v>28353.843000000001</v>
      </c>
      <c r="AW261" s="274">
        <v>28680.920999999998</v>
      </c>
      <c r="AX261" s="274">
        <v>28995.822</v>
      </c>
      <c r="AY261" s="274">
        <v>29299.477999999999</v>
      </c>
      <c r="AZ261" s="274">
        <v>29590.952000000001</v>
      </c>
      <c r="BA261" s="274">
        <v>29871.092000000001</v>
      </c>
      <c r="BB261" s="274">
        <v>30145.148000000001</v>
      </c>
      <c r="BC261" s="274">
        <v>30420.216</v>
      </c>
      <c r="BD261" s="274">
        <v>30701.902999999998</v>
      </c>
      <c r="BE261" s="274">
        <v>30991.344000000001</v>
      </c>
      <c r="BF261" s="274">
        <v>31288.572</v>
      </c>
      <c r="BG261" s="274">
        <v>31596.593000000001</v>
      </c>
      <c r="BH261" s="274">
        <v>31918.581999999999</v>
      </c>
      <c r="BI261" s="274">
        <v>32256.332999999999</v>
      </c>
      <c r="BJ261" s="274">
        <v>32611.436000000002</v>
      </c>
      <c r="BK261" s="274">
        <v>32982.275000000001</v>
      </c>
      <c r="BL261" s="274">
        <v>33363.256000000001</v>
      </c>
      <c r="BM261" s="274">
        <v>33746.559000000001</v>
      </c>
      <c r="BN261" s="274">
        <v>34126.173000000003</v>
      </c>
      <c r="BO261" s="274">
        <v>34499.904999999999</v>
      </c>
      <c r="BP261" s="274">
        <v>34868.150999999998</v>
      </c>
      <c r="BQ261" s="274">
        <v>35230.612000000001</v>
      </c>
      <c r="BR261" s="274">
        <v>35587.792999999998</v>
      </c>
      <c r="BS261" s="274">
        <v>35939.927000000003</v>
      </c>
    </row>
    <row r="262" spans="1:71" x14ac:dyDescent="0.4">
      <c r="A262" s="270">
        <v>243</v>
      </c>
      <c r="B262" s="271" t="s">
        <v>890</v>
      </c>
      <c r="C262" s="276" t="s">
        <v>963</v>
      </c>
      <c r="D262" s="273"/>
      <c r="E262" s="273">
        <v>304</v>
      </c>
      <c r="F262" s="274">
        <v>22.998000000000001</v>
      </c>
      <c r="G262" s="274">
        <v>23.47</v>
      </c>
      <c r="H262" s="274">
        <v>23.940999999999999</v>
      </c>
      <c r="I262" s="274">
        <v>24.469000000000001</v>
      </c>
      <c r="J262" s="274">
        <v>25.094000000000001</v>
      </c>
      <c r="K262" s="274">
        <v>25.844999999999999</v>
      </c>
      <c r="L262" s="274">
        <v>26.728000000000002</v>
      </c>
      <c r="M262" s="274">
        <v>27.734000000000002</v>
      </c>
      <c r="N262" s="274">
        <v>28.841999999999999</v>
      </c>
      <c r="O262" s="274">
        <v>30.021000000000001</v>
      </c>
      <c r="P262" s="274">
        <v>31.238</v>
      </c>
      <c r="Q262" s="274">
        <v>32.473999999999997</v>
      </c>
      <c r="R262" s="274">
        <v>33.729999999999997</v>
      </c>
      <c r="S262" s="274">
        <v>35.037999999999997</v>
      </c>
      <c r="T262" s="274">
        <v>36.441000000000003</v>
      </c>
      <c r="U262" s="274">
        <v>37.963000000000001</v>
      </c>
      <c r="V262" s="274">
        <v>39.616</v>
      </c>
      <c r="W262" s="274">
        <v>41.36</v>
      </c>
      <c r="X262" s="274">
        <v>43.1</v>
      </c>
      <c r="Y262" s="274">
        <v>44.703000000000003</v>
      </c>
      <c r="Z262" s="274">
        <v>46.075000000000003</v>
      </c>
      <c r="AA262" s="274">
        <v>47.19</v>
      </c>
      <c r="AB262" s="274">
        <v>48.073</v>
      </c>
      <c r="AC262" s="274">
        <v>48.74</v>
      </c>
      <c r="AD262" s="274">
        <v>49.231000000000002</v>
      </c>
      <c r="AE262" s="274">
        <v>49.582000000000001</v>
      </c>
      <c r="AF262" s="274">
        <v>49.783999999999999</v>
      </c>
      <c r="AG262" s="274">
        <v>49.847999999999999</v>
      </c>
      <c r="AH262" s="274">
        <v>49.863999999999997</v>
      </c>
      <c r="AI262" s="274">
        <v>49.947000000000003</v>
      </c>
      <c r="AJ262" s="274">
        <v>50.176000000000002</v>
      </c>
      <c r="AK262" s="274">
        <v>50.587000000000003</v>
      </c>
      <c r="AL262" s="274">
        <v>51.158000000000001</v>
      </c>
      <c r="AM262" s="274">
        <v>51.834000000000003</v>
      </c>
      <c r="AN262" s="274">
        <v>52.531999999999996</v>
      </c>
      <c r="AO262" s="274">
        <v>53.189</v>
      </c>
      <c r="AP262" s="274">
        <v>53.798999999999999</v>
      </c>
      <c r="AQ262" s="274">
        <v>54.371000000000002</v>
      </c>
      <c r="AR262" s="274">
        <v>54.878999999999998</v>
      </c>
      <c r="AS262" s="274">
        <v>55.295999999999999</v>
      </c>
      <c r="AT262" s="274">
        <v>55.603000000000002</v>
      </c>
      <c r="AU262" s="274">
        <v>55.786000000000001</v>
      </c>
      <c r="AV262" s="274">
        <v>55.853999999999999</v>
      </c>
      <c r="AW262" s="274">
        <v>55.844999999999999</v>
      </c>
      <c r="AX262" s="274">
        <v>55.817</v>
      </c>
      <c r="AY262" s="274">
        <v>55.808999999999997</v>
      </c>
      <c r="AZ262" s="274">
        <v>55.832000000000001</v>
      </c>
      <c r="BA262" s="274">
        <v>55.875999999999998</v>
      </c>
      <c r="BB262" s="274">
        <v>55.948</v>
      </c>
      <c r="BC262" s="274">
        <v>56.048999999999999</v>
      </c>
      <c r="BD262" s="274">
        <v>56.173999999999999</v>
      </c>
      <c r="BE262" s="274">
        <v>56.334000000000003</v>
      </c>
      <c r="BF262" s="274">
        <v>56.524999999999999</v>
      </c>
      <c r="BG262" s="274">
        <v>56.716999999999999</v>
      </c>
      <c r="BH262" s="274">
        <v>56.869</v>
      </c>
      <c r="BI262" s="274">
        <v>56.953000000000003</v>
      </c>
      <c r="BJ262" s="274">
        <v>56.957999999999998</v>
      </c>
      <c r="BK262" s="274">
        <v>56.896000000000001</v>
      </c>
      <c r="BL262" s="274">
        <v>56.787999999999997</v>
      </c>
      <c r="BM262" s="274">
        <v>56.662999999999997</v>
      </c>
      <c r="BN262" s="274">
        <v>56.545999999999999</v>
      </c>
      <c r="BO262" s="274">
        <v>56.441000000000003</v>
      </c>
      <c r="BP262" s="274">
        <v>56.344000000000001</v>
      </c>
      <c r="BQ262" s="274">
        <v>56.265000000000001</v>
      </c>
      <c r="BR262" s="274">
        <v>56.210999999999999</v>
      </c>
      <c r="BS262" s="274">
        <v>56.186</v>
      </c>
    </row>
    <row r="263" spans="1:71" x14ac:dyDescent="0.4">
      <c r="A263" s="270">
        <v>244</v>
      </c>
      <c r="B263" s="271" t="s">
        <v>890</v>
      </c>
      <c r="C263" s="276" t="s">
        <v>964</v>
      </c>
      <c r="D263" s="273"/>
      <c r="E263" s="273">
        <v>666</v>
      </c>
      <c r="F263" s="274">
        <v>4.5730000000000004</v>
      </c>
      <c r="G263" s="274">
        <v>4.6050000000000004</v>
      </c>
      <c r="H263" s="274">
        <v>4.6340000000000003</v>
      </c>
      <c r="I263" s="274">
        <v>4.6630000000000003</v>
      </c>
      <c r="J263" s="274">
        <v>4.6929999999999996</v>
      </c>
      <c r="K263" s="274">
        <v>4.726</v>
      </c>
      <c r="L263" s="274">
        <v>4.7629999999999999</v>
      </c>
      <c r="M263" s="274">
        <v>4.8029999999999999</v>
      </c>
      <c r="N263" s="274">
        <v>4.843</v>
      </c>
      <c r="O263" s="274">
        <v>4.883</v>
      </c>
      <c r="P263" s="274">
        <v>4.9189999999999996</v>
      </c>
      <c r="Q263" s="274">
        <v>4.9509999999999996</v>
      </c>
      <c r="R263" s="274">
        <v>4.9809999999999999</v>
      </c>
      <c r="S263" s="274">
        <v>5.0110000000000001</v>
      </c>
      <c r="T263" s="274">
        <v>5.0490000000000004</v>
      </c>
      <c r="U263" s="274">
        <v>5.0949999999999998</v>
      </c>
      <c r="V263" s="274">
        <v>5.1520000000000001</v>
      </c>
      <c r="W263" s="274">
        <v>5.218</v>
      </c>
      <c r="X263" s="274">
        <v>5.2910000000000004</v>
      </c>
      <c r="Y263" s="274">
        <v>5.3719999999999999</v>
      </c>
      <c r="Z263" s="274">
        <v>5.4569999999999999</v>
      </c>
      <c r="AA263" s="274">
        <v>5.548</v>
      </c>
      <c r="AB263" s="274">
        <v>5.6440000000000001</v>
      </c>
      <c r="AC263" s="274">
        <v>5.7359999999999998</v>
      </c>
      <c r="AD263" s="274">
        <v>5.8170000000000002</v>
      </c>
      <c r="AE263" s="274">
        <v>5.883</v>
      </c>
      <c r="AF263" s="274">
        <v>5.9290000000000003</v>
      </c>
      <c r="AG263" s="274">
        <v>5.9569999999999999</v>
      </c>
      <c r="AH263" s="274">
        <v>5.9729999999999999</v>
      </c>
      <c r="AI263" s="274">
        <v>5.9850000000000003</v>
      </c>
      <c r="AJ263" s="274">
        <v>5.9989999999999997</v>
      </c>
      <c r="AK263" s="274">
        <v>6.0149999999999997</v>
      </c>
      <c r="AL263" s="274">
        <v>6.0330000000000004</v>
      </c>
      <c r="AM263" s="274">
        <v>6.0540000000000003</v>
      </c>
      <c r="AN263" s="274">
        <v>6.0789999999999997</v>
      </c>
      <c r="AO263" s="274">
        <v>6.1070000000000002</v>
      </c>
      <c r="AP263" s="274">
        <v>6.141</v>
      </c>
      <c r="AQ263" s="274">
        <v>6.1790000000000003</v>
      </c>
      <c r="AR263" s="274">
        <v>6.218</v>
      </c>
      <c r="AS263" s="274">
        <v>6.2530000000000001</v>
      </c>
      <c r="AT263" s="274">
        <v>6.2789999999999999</v>
      </c>
      <c r="AU263" s="274">
        <v>6.2960000000000003</v>
      </c>
      <c r="AV263" s="274">
        <v>6.3040000000000003</v>
      </c>
      <c r="AW263" s="274">
        <v>6.3070000000000004</v>
      </c>
      <c r="AX263" s="274">
        <v>6.3049999999999997</v>
      </c>
      <c r="AY263" s="274">
        <v>6.3010000000000002</v>
      </c>
      <c r="AZ263" s="274">
        <v>6.2960000000000003</v>
      </c>
      <c r="BA263" s="274">
        <v>6.29</v>
      </c>
      <c r="BB263" s="274">
        <v>6.2839999999999998</v>
      </c>
      <c r="BC263" s="274">
        <v>6.2770000000000001</v>
      </c>
      <c r="BD263" s="274">
        <v>6.2709999999999999</v>
      </c>
      <c r="BE263" s="274">
        <v>6.266</v>
      </c>
      <c r="BF263" s="274">
        <v>6.2619999999999996</v>
      </c>
      <c r="BG263" s="274">
        <v>6.26</v>
      </c>
      <c r="BH263" s="274">
        <v>6.2590000000000003</v>
      </c>
      <c r="BI263" s="274">
        <v>6.2590000000000003</v>
      </c>
      <c r="BJ263" s="274">
        <v>6.2610000000000001</v>
      </c>
      <c r="BK263" s="274">
        <v>6.2640000000000002</v>
      </c>
      <c r="BL263" s="274">
        <v>6.2690000000000001</v>
      </c>
      <c r="BM263" s="274">
        <v>6.2720000000000002</v>
      </c>
      <c r="BN263" s="274">
        <v>6.274</v>
      </c>
      <c r="BO263" s="274">
        <v>6.274</v>
      </c>
      <c r="BP263" s="274">
        <v>6.2750000000000004</v>
      </c>
      <c r="BQ263" s="274">
        <v>6.2750000000000004</v>
      </c>
      <c r="BR263" s="274">
        <v>6.2789999999999999</v>
      </c>
      <c r="BS263" s="274">
        <v>6.2880000000000003</v>
      </c>
    </row>
    <row r="264" spans="1:71" x14ac:dyDescent="0.4">
      <c r="A264" s="270">
        <v>245</v>
      </c>
      <c r="B264" s="271" t="s">
        <v>890</v>
      </c>
      <c r="C264" s="276" t="s">
        <v>965</v>
      </c>
      <c r="D264" s="273"/>
      <c r="E264" s="273">
        <v>840</v>
      </c>
      <c r="F264" s="274">
        <v>157813.04</v>
      </c>
      <c r="G264" s="274">
        <v>159880.75599999999</v>
      </c>
      <c r="H264" s="274">
        <v>162280.405</v>
      </c>
      <c r="I264" s="274">
        <v>164941.71599999999</v>
      </c>
      <c r="J264" s="274">
        <v>167800.046</v>
      </c>
      <c r="K264" s="274">
        <v>170796.378</v>
      </c>
      <c r="L264" s="274">
        <v>173877.321</v>
      </c>
      <c r="M264" s="274">
        <v>176995.10800000001</v>
      </c>
      <c r="N264" s="274">
        <v>180107.61199999999</v>
      </c>
      <c r="O264" s="274">
        <v>183178.348</v>
      </c>
      <c r="P264" s="274">
        <v>186176.524</v>
      </c>
      <c r="Q264" s="274">
        <v>189077.076</v>
      </c>
      <c r="R264" s="274">
        <v>191860.71</v>
      </c>
      <c r="S264" s="274">
        <v>194513.91099999999</v>
      </c>
      <c r="T264" s="274">
        <v>197028.908</v>
      </c>
      <c r="U264" s="274">
        <v>199403.53200000001</v>
      </c>
      <c r="V264" s="274">
        <v>201629.47099999999</v>
      </c>
      <c r="W264" s="274">
        <v>203713.08199999999</v>
      </c>
      <c r="X264" s="274">
        <v>205687.611</v>
      </c>
      <c r="Y264" s="274">
        <v>207599.30799999999</v>
      </c>
      <c r="Z264" s="274">
        <v>209485.807</v>
      </c>
      <c r="AA264" s="274">
        <v>211357.91200000001</v>
      </c>
      <c r="AB264" s="274">
        <v>213219.51500000001</v>
      </c>
      <c r="AC264" s="274">
        <v>215092.9</v>
      </c>
      <c r="AD264" s="274">
        <v>217001.86499999999</v>
      </c>
      <c r="AE264" s="274">
        <v>218963.56099999999</v>
      </c>
      <c r="AF264" s="274">
        <v>220993.166</v>
      </c>
      <c r="AG264" s="274">
        <v>223090.87100000001</v>
      </c>
      <c r="AH264" s="274">
        <v>225239.45600000001</v>
      </c>
      <c r="AI264" s="274">
        <v>227411.60399999999</v>
      </c>
      <c r="AJ264" s="274">
        <v>229588.20800000001</v>
      </c>
      <c r="AK264" s="274">
        <v>231765.783</v>
      </c>
      <c r="AL264" s="274">
        <v>233953.87400000001</v>
      </c>
      <c r="AM264" s="274">
        <v>236161.96100000001</v>
      </c>
      <c r="AN264" s="274">
        <v>238404.223</v>
      </c>
      <c r="AO264" s="274">
        <v>240691.557</v>
      </c>
      <c r="AP264" s="274">
        <v>243032.01699999999</v>
      </c>
      <c r="AQ264" s="274">
        <v>245425.40900000001</v>
      </c>
      <c r="AR264" s="274">
        <v>247865.20199999999</v>
      </c>
      <c r="AS264" s="274">
        <v>250340.79500000001</v>
      </c>
      <c r="AT264" s="274">
        <v>252847.81</v>
      </c>
      <c r="AU264" s="274">
        <v>255367.16</v>
      </c>
      <c r="AV264" s="274">
        <v>257908.20600000001</v>
      </c>
      <c r="AW264" s="274">
        <v>260527.42</v>
      </c>
      <c r="AX264" s="274">
        <v>263301.32299999997</v>
      </c>
      <c r="AY264" s="274">
        <v>266275.52799999999</v>
      </c>
      <c r="AZ264" s="274">
        <v>269483.22399999999</v>
      </c>
      <c r="BA264" s="274">
        <v>272882.86499999999</v>
      </c>
      <c r="BB264" s="274">
        <v>276354.09600000002</v>
      </c>
      <c r="BC264" s="274">
        <v>279730.80099999998</v>
      </c>
      <c r="BD264" s="274">
        <v>282895.74099999998</v>
      </c>
      <c r="BE264" s="274">
        <v>285796.19799999997</v>
      </c>
      <c r="BF264" s="274">
        <v>288470.84700000001</v>
      </c>
      <c r="BG264" s="274">
        <v>291005.48200000002</v>
      </c>
      <c r="BH264" s="274">
        <v>293530.886</v>
      </c>
      <c r="BI264" s="274">
        <v>296139.63500000001</v>
      </c>
      <c r="BJ264" s="274">
        <v>298860.51899999997</v>
      </c>
      <c r="BK264" s="274">
        <v>301655.95299999998</v>
      </c>
      <c r="BL264" s="274">
        <v>304473.14299999998</v>
      </c>
      <c r="BM264" s="274">
        <v>307231.96100000001</v>
      </c>
      <c r="BN264" s="274">
        <v>309876.17</v>
      </c>
      <c r="BO264" s="274">
        <v>312390.36800000002</v>
      </c>
      <c r="BP264" s="274">
        <v>314799.46500000003</v>
      </c>
      <c r="BQ264" s="274">
        <v>317135.91899999999</v>
      </c>
      <c r="BR264" s="274">
        <v>319448.63400000002</v>
      </c>
      <c r="BS264" s="274">
        <v>321773.63099999999</v>
      </c>
    </row>
    <row r="265" spans="1:71" x14ac:dyDescent="0.4">
      <c r="A265" s="270">
        <v>246</v>
      </c>
      <c r="B265" s="271" t="s">
        <v>890</v>
      </c>
      <c r="C265" s="272" t="s">
        <v>966</v>
      </c>
      <c r="D265" s="273"/>
      <c r="E265" s="273">
        <v>909</v>
      </c>
      <c r="F265" s="274">
        <v>12681.946</v>
      </c>
      <c r="G265" s="274">
        <v>13003.11</v>
      </c>
      <c r="H265" s="274">
        <v>13301.164000000001</v>
      </c>
      <c r="I265" s="274">
        <v>13589.611000000001</v>
      </c>
      <c r="J265" s="274">
        <v>13878.62</v>
      </c>
      <c r="K265" s="274">
        <v>14175.058999999999</v>
      </c>
      <c r="L265" s="274">
        <v>14482.294</v>
      </c>
      <c r="M265" s="274">
        <v>14800.379000000001</v>
      </c>
      <c r="N265" s="274">
        <v>15126.499</v>
      </c>
      <c r="O265" s="274">
        <v>15455.773999999999</v>
      </c>
      <c r="P265" s="274">
        <v>15783.582</v>
      </c>
      <c r="Q265" s="274">
        <v>16108.074000000001</v>
      </c>
      <c r="R265" s="274">
        <v>16432.363000000001</v>
      </c>
      <c r="S265" s="274">
        <v>16765.423999999999</v>
      </c>
      <c r="T265" s="274">
        <v>17119.495999999999</v>
      </c>
      <c r="U265" s="274">
        <v>17502.231</v>
      </c>
      <c r="V265" s="274">
        <v>17917.327000000001</v>
      </c>
      <c r="W265" s="274">
        <v>18358.91</v>
      </c>
      <c r="X265" s="274">
        <v>18813.21</v>
      </c>
      <c r="Y265" s="274">
        <v>19260.995999999999</v>
      </c>
      <c r="Z265" s="274">
        <v>19687.988000000001</v>
      </c>
      <c r="AA265" s="274">
        <v>20091.091</v>
      </c>
      <c r="AB265" s="274">
        <v>20473.308000000001</v>
      </c>
      <c r="AC265" s="274">
        <v>20834.242999999999</v>
      </c>
      <c r="AD265" s="274">
        <v>21175.154999999999</v>
      </c>
      <c r="AE265" s="274">
        <v>21498.199000000001</v>
      </c>
      <c r="AF265" s="274">
        <v>21801.276999999998</v>
      </c>
      <c r="AG265" s="274">
        <v>22086.716</v>
      </c>
      <c r="AH265" s="274">
        <v>22366.85</v>
      </c>
      <c r="AI265" s="274">
        <v>22658.071</v>
      </c>
      <c r="AJ265" s="274">
        <v>22972.278999999999</v>
      </c>
      <c r="AK265" s="274">
        <v>23314.102999999999</v>
      </c>
      <c r="AL265" s="274">
        <v>23680.852999999999</v>
      </c>
      <c r="AM265" s="274">
        <v>24067.917000000001</v>
      </c>
      <c r="AN265" s="274">
        <v>24467.39</v>
      </c>
      <c r="AO265" s="274">
        <v>24873.106</v>
      </c>
      <c r="AP265" s="274">
        <v>25284.256000000001</v>
      </c>
      <c r="AQ265" s="274">
        <v>25701.915000000001</v>
      </c>
      <c r="AR265" s="274">
        <v>26123.774000000001</v>
      </c>
      <c r="AS265" s="274">
        <v>26547.329000000002</v>
      </c>
      <c r="AT265" s="274">
        <v>26970.562000000002</v>
      </c>
      <c r="AU265" s="274">
        <v>27393.057000000001</v>
      </c>
      <c r="AV265" s="274">
        <v>27814.398000000001</v>
      </c>
      <c r="AW265" s="274">
        <v>28232.784</v>
      </c>
      <c r="AX265" s="274">
        <v>28646.226999999999</v>
      </c>
      <c r="AY265" s="274">
        <v>29053.844000000001</v>
      </c>
      <c r="AZ265" s="274">
        <v>29455.8</v>
      </c>
      <c r="BA265" s="274">
        <v>29854.144</v>
      </c>
      <c r="BB265" s="274">
        <v>30252.440999999999</v>
      </c>
      <c r="BC265" s="274">
        <v>30655.472000000002</v>
      </c>
      <c r="BD265" s="274">
        <v>31067.62</v>
      </c>
      <c r="BE265" s="274">
        <v>31488.052</v>
      </c>
      <c r="BF265" s="274">
        <v>31918.386999999999</v>
      </c>
      <c r="BG265" s="274">
        <v>32368.118999999999</v>
      </c>
      <c r="BH265" s="274">
        <v>32849.296000000002</v>
      </c>
      <c r="BI265" s="274">
        <v>33369.472000000002</v>
      </c>
      <c r="BJ265" s="274">
        <v>33933.089</v>
      </c>
      <c r="BK265" s="274">
        <v>34534.964999999997</v>
      </c>
      <c r="BL265" s="274">
        <v>35160.97</v>
      </c>
      <c r="BM265" s="274">
        <v>35791.192999999999</v>
      </c>
      <c r="BN265" s="274">
        <v>36410.779000000002</v>
      </c>
      <c r="BO265" s="274">
        <v>37014.521000000001</v>
      </c>
      <c r="BP265" s="274">
        <v>37605.014000000003</v>
      </c>
      <c r="BQ265" s="274">
        <v>38184.665999999997</v>
      </c>
      <c r="BR265" s="274">
        <v>38758.786</v>
      </c>
      <c r="BS265" s="274">
        <v>39331.129999999997</v>
      </c>
    </row>
    <row r="266" spans="1:71" x14ac:dyDescent="0.4">
      <c r="A266" s="270">
        <v>247</v>
      </c>
      <c r="B266" s="271" t="s">
        <v>890</v>
      </c>
      <c r="C266" s="277" t="s">
        <v>967</v>
      </c>
      <c r="D266" s="273"/>
      <c r="E266" s="273">
        <v>927</v>
      </c>
      <c r="F266" s="274">
        <v>10085.344999999999</v>
      </c>
      <c r="G266" s="274">
        <v>10365.441999999999</v>
      </c>
      <c r="H266" s="274">
        <v>10619.671</v>
      </c>
      <c r="I266" s="274">
        <v>10861.953</v>
      </c>
      <c r="J266" s="274">
        <v>11102.701999999999</v>
      </c>
      <c r="K266" s="274">
        <v>11348.824000000001</v>
      </c>
      <c r="L266" s="274">
        <v>11603.545</v>
      </c>
      <c r="M266" s="274">
        <v>11866.584000000001</v>
      </c>
      <c r="N266" s="274">
        <v>12134.648999999999</v>
      </c>
      <c r="O266" s="274">
        <v>12402.272999999999</v>
      </c>
      <c r="P266" s="274">
        <v>12664.326999999999</v>
      </c>
      <c r="Q266" s="274">
        <v>12918.68</v>
      </c>
      <c r="R266" s="274">
        <v>13168.548000000001</v>
      </c>
      <c r="S266" s="274">
        <v>13423.491</v>
      </c>
      <c r="T266" s="274">
        <v>13696.573</v>
      </c>
      <c r="U266" s="274">
        <v>13996.013999999999</v>
      </c>
      <c r="V266" s="274">
        <v>14325.870999999999</v>
      </c>
      <c r="W266" s="274">
        <v>14680</v>
      </c>
      <c r="X266" s="274">
        <v>15043.813</v>
      </c>
      <c r="Y266" s="274">
        <v>15396.924000000001</v>
      </c>
      <c r="Z266" s="274">
        <v>15724.308000000001</v>
      </c>
      <c r="AA266" s="274">
        <v>16022.401</v>
      </c>
      <c r="AB266" s="274">
        <v>16294.707</v>
      </c>
      <c r="AC266" s="274">
        <v>16542.174999999999</v>
      </c>
      <c r="AD266" s="274">
        <v>16767.973000000002</v>
      </c>
      <c r="AE266" s="274">
        <v>16975.557000000001</v>
      </c>
      <c r="AF266" s="274">
        <v>17163.701000000001</v>
      </c>
      <c r="AG266" s="274">
        <v>17334.207999999999</v>
      </c>
      <c r="AH266" s="274">
        <v>17497.641</v>
      </c>
      <c r="AI266" s="274">
        <v>17667.853999999999</v>
      </c>
      <c r="AJ266" s="274">
        <v>17855.094000000001</v>
      </c>
      <c r="AK266" s="274">
        <v>18062.984</v>
      </c>
      <c r="AL266" s="274">
        <v>18289.891</v>
      </c>
      <c r="AM266" s="274">
        <v>18534.080000000002</v>
      </c>
      <c r="AN266" s="274">
        <v>18791.669000000002</v>
      </c>
      <c r="AO266" s="274">
        <v>19059.235000000001</v>
      </c>
      <c r="AP266" s="274">
        <v>19337.157999999999</v>
      </c>
      <c r="AQ266" s="274">
        <v>19625.186000000002</v>
      </c>
      <c r="AR266" s="274">
        <v>19918.202000000001</v>
      </c>
      <c r="AS266" s="274">
        <v>20209.602999999999</v>
      </c>
      <c r="AT266" s="274">
        <v>20494.402999999998</v>
      </c>
      <c r="AU266" s="274">
        <v>20771.414000000001</v>
      </c>
      <c r="AV266" s="274">
        <v>21041.151999999998</v>
      </c>
      <c r="AW266" s="274">
        <v>21302.654999999999</v>
      </c>
      <c r="AX266" s="274">
        <v>21555.395</v>
      </c>
      <c r="AY266" s="274">
        <v>21799.655999999999</v>
      </c>
      <c r="AZ266" s="274">
        <v>22035.579000000002</v>
      </c>
      <c r="BA266" s="274">
        <v>22265.073</v>
      </c>
      <c r="BB266" s="274">
        <v>22492.690999999999</v>
      </c>
      <c r="BC266" s="274">
        <v>22724.424999999999</v>
      </c>
      <c r="BD266" s="274">
        <v>22965.485000000001</v>
      </c>
      <c r="BE266" s="274">
        <v>23215.592000000001</v>
      </c>
      <c r="BF266" s="274">
        <v>23476.080000000002</v>
      </c>
      <c r="BG266" s="274">
        <v>23755.45</v>
      </c>
      <c r="BH266" s="274">
        <v>24064.254000000001</v>
      </c>
      <c r="BI266" s="274">
        <v>24408.981</v>
      </c>
      <c r="BJ266" s="274">
        <v>24793.812000000002</v>
      </c>
      <c r="BK266" s="274">
        <v>25213.97</v>
      </c>
      <c r="BL266" s="274">
        <v>25655.727999999999</v>
      </c>
      <c r="BM266" s="274">
        <v>26099.813999999998</v>
      </c>
      <c r="BN266" s="274">
        <v>26531.89</v>
      </c>
      <c r="BO266" s="274">
        <v>26946.853999999999</v>
      </c>
      <c r="BP266" s="274">
        <v>27347.258000000002</v>
      </c>
      <c r="BQ266" s="274">
        <v>27735.741000000002</v>
      </c>
      <c r="BR266" s="274">
        <v>28117.834999999999</v>
      </c>
      <c r="BS266" s="274">
        <v>28497.499</v>
      </c>
    </row>
    <row r="267" spans="1:71" x14ac:dyDescent="0.4">
      <c r="A267" s="270">
        <v>248</v>
      </c>
      <c r="B267" s="271" t="s">
        <v>890</v>
      </c>
      <c r="C267" s="276" t="s">
        <v>215</v>
      </c>
      <c r="D267" s="273">
        <v>24</v>
      </c>
      <c r="E267" s="273">
        <v>36</v>
      </c>
      <c r="F267" s="274">
        <v>8177.3440000000001</v>
      </c>
      <c r="G267" s="274">
        <v>8417.64</v>
      </c>
      <c r="H267" s="274">
        <v>8627.0519999999997</v>
      </c>
      <c r="I267" s="274">
        <v>8821.9380000000001</v>
      </c>
      <c r="J267" s="274">
        <v>9014.5079999999998</v>
      </c>
      <c r="K267" s="274">
        <v>9212.8240000000005</v>
      </c>
      <c r="L267" s="274">
        <v>9420.6020000000008</v>
      </c>
      <c r="M267" s="274">
        <v>9637.4079999999994</v>
      </c>
      <c r="N267" s="274">
        <v>9859.2569999999996</v>
      </c>
      <c r="O267" s="274">
        <v>10079.603999999999</v>
      </c>
      <c r="P267" s="274">
        <v>10292.328</v>
      </c>
      <c r="Q267" s="274">
        <v>10494.911</v>
      </c>
      <c r="R267" s="274">
        <v>10691.22</v>
      </c>
      <c r="S267" s="274">
        <v>10892.7</v>
      </c>
      <c r="T267" s="274">
        <v>11114.995000000001</v>
      </c>
      <c r="U267" s="274">
        <v>11368.011</v>
      </c>
      <c r="V267" s="274">
        <v>11657.281000000001</v>
      </c>
      <c r="W267" s="274">
        <v>11975.795</v>
      </c>
      <c r="X267" s="274">
        <v>12305.53</v>
      </c>
      <c r="Y267" s="274">
        <v>12621.24</v>
      </c>
      <c r="Z267" s="274">
        <v>12904.76</v>
      </c>
      <c r="AA267" s="274">
        <v>13150.591</v>
      </c>
      <c r="AB267" s="274">
        <v>13364.237999999999</v>
      </c>
      <c r="AC267" s="274">
        <v>13552.19</v>
      </c>
      <c r="AD267" s="274">
        <v>13725.4</v>
      </c>
      <c r="AE267" s="274">
        <v>13892.674000000001</v>
      </c>
      <c r="AF267" s="274">
        <v>14054.956</v>
      </c>
      <c r="AG267" s="274">
        <v>14211.656999999999</v>
      </c>
      <c r="AH267" s="274">
        <v>14368.543</v>
      </c>
      <c r="AI267" s="274">
        <v>14532.401</v>
      </c>
      <c r="AJ267" s="274">
        <v>14708.323</v>
      </c>
      <c r="AK267" s="274">
        <v>14898.019</v>
      </c>
      <c r="AL267" s="274">
        <v>15101.227000000001</v>
      </c>
      <c r="AM267" s="274">
        <v>15318.254000000001</v>
      </c>
      <c r="AN267" s="274">
        <v>15548.591</v>
      </c>
      <c r="AO267" s="274">
        <v>15791.043</v>
      </c>
      <c r="AP267" s="274">
        <v>16047.026</v>
      </c>
      <c r="AQ267" s="274">
        <v>16314.778</v>
      </c>
      <c r="AR267" s="274">
        <v>16585.904999999999</v>
      </c>
      <c r="AS267" s="274">
        <v>16849.253000000001</v>
      </c>
      <c r="AT267" s="274">
        <v>17096.868999999999</v>
      </c>
      <c r="AU267" s="274">
        <v>17325.817999999999</v>
      </c>
      <c r="AV267" s="274">
        <v>17538.386999999999</v>
      </c>
      <c r="AW267" s="274">
        <v>17738.428</v>
      </c>
      <c r="AX267" s="274">
        <v>17932.214</v>
      </c>
      <c r="AY267" s="274">
        <v>18124.77</v>
      </c>
      <c r="AZ267" s="274">
        <v>18318.34</v>
      </c>
      <c r="BA267" s="274">
        <v>18512.971000000001</v>
      </c>
      <c r="BB267" s="274">
        <v>18709.174999999999</v>
      </c>
      <c r="BC267" s="274">
        <v>18906.936000000002</v>
      </c>
      <c r="BD267" s="274">
        <v>19107.251</v>
      </c>
      <c r="BE267" s="274">
        <v>19308.681</v>
      </c>
      <c r="BF267" s="274">
        <v>19514.384999999998</v>
      </c>
      <c r="BG267" s="274">
        <v>19735.255000000001</v>
      </c>
      <c r="BH267" s="274">
        <v>19985.474999999999</v>
      </c>
      <c r="BI267" s="274">
        <v>20274.281999999999</v>
      </c>
      <c r="BJ267" s="274">
        <v>20606.227999999999</v>
      </c>
      <c r="BK267" s="274">
        <v>20975.949000000001</v>
      </c>
      <c r="BL267" s="274">
        <v>21370.348000000002</v>
      </c>
      <c r="BM267" s="274">
        <v>21770.69</v>
      </c>
      <c r="BN267" s="274">
        <v>22162.863000000001</v>
      </c>
      <c r="BO267" s="274">
        <v>22542.370999999999</v>
      </c>
      <c r="BP267" s="274">
        <v>22911.375</v>
      </c>
      <c r="BQ267" s="274">
        <v>23270.465</v>
      </c>
      <c r="BR267" s="274">
        <v>23622.352999999999</v>
      </c>
      <c r="BS267" s="274">
        <v>23968.973000000002</v>
      </c>
    </row>
    <row r="268" spans="1:71" x14ac:dyDescent="0.4">
      <c r="A268" s="270">
        <v>249</v>
      </c>
      <c r="B268" s="271" t="s">
        <v>890</v>
      </c>
      <c r="C268" s="276" t="s">
        <v>616</v>
      </c>
      <c r="D268" s="273"/>
      <c r="E268" s="273">
        <v>554</v>
      </c>
      <c r="F268" s="274">
        <v>1908.001</v>
      </c>
      <c r="G268" s="274">
        <v>1947.8019999999999</v>
      </c>
      <c r="H268" s="274">
        <v>1992.6189999999999</v>
      </c>
      <c r="I268" s="274">
        <v>2040.0150000000001</v>
      </c>
      <c r="J268" s="274">
        <v>2088.194</v>
      </c>
      <c r="K268" s="274">
        <v>2136</v>
      </c>
      <c r="L268" s="274">
        <v>2182.9430000000002</v>
      </c>
      <c r="M268" s="274">
        <v>2229.1759999999999</v>
      </c>
      <c r="N268" s="274">
        <v>2275.3919999999998</v>
      </c>
      <c r="O268" s="274">
        <v>2322.6689999999999</v>
      </c>
      <c r="P268" s="274">
        <v>2371.9989999999998</v>
      </c>
      <c r="Q268" s="274">
        <v>2423.7689999999998</v>
      </c>
      <c r="R268" s="274">
        <v>2477.328</v>
      </c>
      <c r="S268" s="274">
        <v>2530.7910000000002</v>
      </c>
      <c r="T268" s="274">
        <v>2581.578</v>
      </c>
      <c r="U268" s="274">
        <v>2628.0030000000002</v>
      </c>
      <c r="V268" s="274">
        <v>2668.59</v>
      </c>
      <c r="W268" s="274">
        <v>2704.2049999999999</v>
      </c>
      <c r="X268" s="274">
        <v>2738.2829999999999</v>
      </c>
      <c r="Y268" s="274">
        <v>2775.6840000000002</v>
      </c>
      <c r="Z268" s="274">
        <v>2819.5479999999998</v>
      </c>
      <c r="AA268" s="274">
        <v>2871.81</v>
      </c>
      <c r="AB268" s="274">
        <v>2930.4690000000001</v>
      </c>
      <c r="AC268" s="274">
        <v>2989.9850000000001</v>
      </c>
      <c r="AD268" s="274">
        <v>3042.5729999999999</v>
      </c>
      <c r="AE268" s="274">
        <v>3082.8829999999998</v>
      </c>
      <c r="AF268" s="274">
        <v>3108.7449999999999</v>
      </c>
      <c r="AG268" s="274">
        <v>3122.5509999999999</v>
      </c>
      <c r="AH268" s="274">
        <v>3129.098</v>
      </c>
      <c r="AI268" s="274">
        <v>3135.453</v>
      </c>
      <c r="AJ268" s="274">
        <v>3146.7710000000002</v>
      </c>
      <c r="AK268" s="274">
        <v>3164.9650000000001</v>
      </c>
      <c r="AL268" s="274">
        <v>3188.6640000000002</v>
      </c>
      <c r="AM268" s="274">
        <v>3215.826</v>
      </c>
      <c r="AN268" s="274">
        <v>3243.078</v>
      </c>
      <c r="AO268" s="274">
        <v>3268.192</v>
      </c>
      <c r="AP268" s="274">
        <v>3290.1320000000001</v>
      </c>
      <c r="AQ268" s="274">
        <v>3310.4079999999999</v>
      </c>
      <c r="AR268" s="274">
        <v>3332.297</v>
      </c>
      <c r="AS268" s="274">
        <v>3360.35</v>
      </c>
      <c r="AT268" s="274">
        <v>3397.5340000000001</v>
      </c>
      <c r="AU268" s="274">
        <v>3445.596</v>
      </c>
      <c r="AV268" s="274">
        <v>3502.7649999999999</v>
      </c>
      <c r="AW268" s="274">
        <v>3564.2269999999999</v>
      </c>
      <c r="AX268" s="274">
        <v>3623.181</v>
      </c>
      <c r="AY268" s="274">
        <v>3674.886</v>
      </c>
      <c r="AZ268" s="274">
        <v>3717.239</v>
      </c>
      <c r="BA268" s="274">
        <v>3752.1019999999999</v>
      </c>
      <c r="BB268" s="274">
        <v>3783.5160000000001</v>
      </c>
      <c r="BC268" s="274">
        <v>3817.489</v>
      </c>
      <c r="BD268" s="274">
        <v>3858.2339999999999</v>
      </c>
      <c r="BE268" s="274">
        <v>3906.9110000000001</v>
      </c>
      <c r="BF268" s="274">
        <v>3961.6950000000002</v>
      </c>
      <c r="BG268" s="274">
        <v>4020.1950000000002</v>
      </c>
      <c r="BH268" s="274">
        <v>4078.779</v>
      </c>
      <c r="BI268" s="274">
        <v>4134.6989999999996</v>
      </c>
      <c r="BJ268" s="274">
        <v>4187.5839999999998</v>
      </c>
      <c r="BK268" s="274">
        <v>4238.0209999999997</v>
      </c>
      <c r="BL268" s="274">
        <v>4285.38</v>
      </c>
      <c r="BM268" s="274">
        <v>4329.1239999999998</v>
      </c>
      <c r="BN268" s="274">
        <v>4369.027</v>
      </c>
      <c r="BO268" s="274">
        <v>4404.4830000000002</v>
      </c>
      <c r="BP268" s="274">
        <v>4435.8829999999998</v>
      </c>
      <c r="BQ268" s="274">
        <v>4465.2759999999998</v>
      </c>
      <c r="BR268" s="274">
        <v>4495.482</v>
      </c>
      <c r="BS268" s="274">
        <v>4528.5259999999998</v>
      </c>
    </row>
    <row r="269" spans="1:71" x14ac:dyDescent="0.4">
      <c r="A269" s="270">
        <v>250</v>
      </c>
      <c r="B269" s="271" t="s">
        <v>890</v>
      </c>
      <c r="C269" s="277" t="s">
        <v>968</v>
      </c>
      <c r="D269" s="273"/>
      <c r="E269" s="273">
        <v>928</v>
      </c>
      <c r="F269" s="274">
        <v>2199.4969999999998</v>
      </c>
      <c r="G269" s="274">
        <v>2230.4679999999998</v>
      </c>
      <c r="H269" s="274">
        <v>2264.511</v>
      </c>
      <c r="I269" s="274">
        <v>2301.1709999999998</v>
      </c>
      <c r="J269" s="274">
        <v>2340.123</v>
      </c>
      <c r="K269" s="274">
        <v>2381.1729999999998</v>
      </c>
      <c r="L269" s="274">
        <v>2424.2640000000001</v>
      </c>
      <c r="M269" s="274">
        <v>2469.4690000000001</v>
      </c>
      <c r="N269" s="274">
        <v>2516.9769999999999</v>
      </c>
      <c r="O269" s="274">
        <v>2567.0529999999999</v>
      </c>
      <c r="P269" s="274">
        <v>2619.9679999999998</v>
      </c>
      <c r="Q269" s="274">
        <v>2675.8960000000002</v>
      </c>
      <c r="R269" s="274">
        <v>2734.8359999999998</v>
      </c>
      <c r="S269" s="274">
        <v>2796.5709999999999</v>
      </c>
      <c r="T269" s="274">
        <v>2860.78</v>
      </c>
      <c r="U269" s="274">
        <v>2927.3180000000002</v>
      </c>
      <c r="V269" s="274">
        <v>2995.87</v>
      </c>
      <c r="W269" s="274">
        <v>3066.7280000000001</v>
      </c>
      <c r="X269" s="274">
        <v>3141.0709999999999</v>
      </c>
      <c r="Y269" s="274">
        <v>3220.4850000000001</v>
      </c>
      <c r="Z269" s="274">
        <v>3305.989</v>
      </c>
      <c r="AA269" s="274">
        <v>3398.181</v>
      </c>
      <c r="AB269" s="274">
        <v>3496.42</v>
      </c>
      <c r="AC269" s="274">
        <v>3598.9639999999999</v>
      </c>
      <c r="AD269" s="274">
        <v>3703.3519999999999</v>
      </c>
      <c r="AE269" s="274">
        <v>3807.826</v>
      </c>
      <c r="AF269" s="274">
        <v>3911.4560000000001</v>
      </c>
      <c r="AG269" s="274">
        <v>4014.7530000000002</v>
      </c>
      <c r="AH269" s="274">
        <v>4119.1220000000003</v>
      </c>
      <c r="AI269" s="274">
        <v>4226.6949999999997</v>
      </c>
      <c r="AJ269" s="274">
        <v>4338.8530000000001</v>
      </c>
      <c r="AK269" s="274">
        <v>4456.4380000000001</v>
      </c>
      <c r="AL269" s="274">
        <v>4578.5209999999997</v>
      </c>
      <c r="AM269" s="274">
        <v>4702.6289999999999</v>
      </c>
      <c r="AN269" s="274">
        <v>4825.3130000000001</v>
      </c>
      <c r="AO269" s="274">
        <v>4944.2830000000004</v>
      </c>
      <c r="AP269" s="274">
        <v>5058.5140000000001</v>
      </c>
      <c r="AQ269" s="274">
        <v>5169.3040000000001</v>
      </c>
      <c r="AR269" s="274">
        <v>5279.5219999999999</v>
      </c>
      <c r="AS269" s="274">
        <v>5393.2709999999997</v>
      </c>
      <c r="AT269" s="274">
        <v>5513.5479999999998</v>
      </c>
      <c r="AU269" s="274">
        <v>5641.2190000000001</v>
      </c>
      <c r="AV269" s="274">
        <v>5775.4769999999999</v>
      </c>
      <c r="AW269" s="274">
        <v>5915.5709999999999</v>
      </c>
      <c r="AX269" s="274">
        <v>6060.1390000000001</v>
      </c>
      <c r="AY269" s="274">
        <v>6208.0969999999998</v>
      </c>
      <c r="AZ269" s="274">
        <v>6359.5010000000002</v>
      </c>
      <c r="BA269" s="274">
        <v>6514.5439999999999</v>
      </c>
      <c r="BB269" s="274">
        <v>6672.393</v>
      </c>
      <c r="BC269" s="274">
        <v>6832.0050000000001</v>
      </c>
      <c r="BD269" s="274">
        <v>6992.665</v>
      </c>
      <c r="BE269" s="274">
        <v>7153.777</v>
      </c>
      <c r="BF269" s="274">
        <v>7315.5259999999998</v>
      </c>
      <c r="BG269" s="274">
        <v>7478.92</v>
      </c>
      <c r="BH269" s="274">
        <v>7645.4480000000003</v>
      </c>
      <c r="BI269" s="274">
        <v>7816.0889999999999</v>
      </c>
      <c r="BJ269" s="274">
        <v>7991.1819999999998</v>
      </c>
      <c r="BK269" s="274">
        <v>8170.0839999999998</v>
      </c>
      <c r="BL269" s="274">
        <v>8351.61</v>
      </c>
      <c r="BM269" s="274">
        <v>8534.0930000000008</v>
      </c>
      <c r="BN269" s="274">
        <v>8716.2900000000009</v>
      </c>
      <c r="BO269" s="274">
        <v>8897.7780000000002</v>
      </c>
      <c r="BP269" s="274">
        <v>9078.8169999999991</v>
      </c>
      <c r="BQ269" s="274">
        <v>9259.6740000000009</v>
      </c>
      <c r="BR269" s="274">
        <v>9440.8809999999994</v>
      </c>
      <c r="BS269" s="274">
        <v>9622.8269999999993</v>
      </c>
    </row>
    <row r="270" spans="1:71" x14ac:dyDescent="0.4">
      <c r="A270" s="270">
        <v>251</v>
      </c>
      <c r="B270" s="271" t="s">
        <v>890</v>
      </c>
      <c r="C270" s="276" t="s">
        <v>400</v>
      </c>
      <c r="D270" s="273"/>
      <c r="E270" s="273">
        <v>242</v>
      </c>
      <c r="F270" s="274">
        <v>288.99299999999999</v>
      </c>
      <c r="G270" s="274">
        <v>296.20600000000002</v>
      </c>
      <c r="H270" s="274">
        <v>304.81299999999999</v>
      </c>
      <c r="I270" s="274">
        <v>314.35199999999998</v>
      </c>
      <c r="J270" s="274">
        <v>324.48</v>
      </c>
      <c r="K270" s="274">
        <v>334.976</v>
      </c>
      <c r="L270" s="274">
        <v>345.74599999999998</v>
      </c>
      <c r="M270" s="274">
        <v>356.81700000000001</v>
      </c>
      <c r="N270" s="274">
        <v>368.32</v>
      </c>
      <c r="O270" s="274">
        <v>380.452</v>
      </c>
      <c r="P270" s="274">
        <v>393.38299999999998</v>
      </c>
      <c r="Q270" s="274">
        <v>407.15199999999999</v>
      </c>
      <c r="R270" s="274">
        <v>421.57600000000002</v>
      </c>
      <c r="S270" s="274">
        <v>436.20800000000003</v>
      </c>
      <c r="T270" s="274">
        <v>450.452</v>
      </c>
      <c r="U270" s="274">
        <v>463.88400000000001</v>
      </c>
      <c r="V270" s="274">
        <v>476.32900000000001</v>
      </c>
      <c r="W270" s="274">
        <v>487.911</v>
      </c>
      <c r="X270" s="274">
        <v>498.887</v>
      </c>
      <c r="Y270" s="274">
        <v>509.65899999999999</v>
      </c>
      <c r="Z270" s="274">
        <v>520.529</v>
      </c>
      <c r="AA270" s="274">
        <v>531.601</v>
      </c>
      <c r="AB270" s="274">
        <v>542.81100000000004</v>
      </c>
      <c r="AC270" s="274">
        <v>554.10900000000004</v>
      </c>
      <c r="AD270" s="274">
        <v>565.38599999999997</v>
      </c>
      <c r="AE270" s="274">
        <v>576.59199999999998</v>
      </c>
      <c r="AF270" s="274">
        <v>587.52300000000002</v>
      </c>
      <c r="AG270" s="274">
        <v>598.25800000000004</v>
      </c>
      <c r="AH270" s="274">
        <v>609.34799999999996</v>
      </c>
      <c r="AI270" s="274">
        <v>621.54100000000005</v>
      </c>
      <c r="AJ270" s="274">
        <v>635.25599999999997</v>
      </c>
      <c r="AK270" s="274">
        <v>650.95699999999999</v>
      </c>
      <c r="AL270" s="274">
        <v>668.19600000000003</v>
      </c>
      <c r="AM270" s="274">
        <v>685.38900000000001</v>
      </c>
      <c r="AN270" s="274">
        <v>700.36599999999999</v>
      </c>
      <c r="AO270" s="274">
        <v>711.66300000000001</v>
      </c>
      <c r="AP270" s="274">
        <v>718.548</v>
      </c>
      <c r="AQ270" s="274">
        <v>721.72500000000002</v>
      </c>
      <c r="AR270" s="274">
        <v>722.91800000000001</v>
      </c>
      <c r="AS270" s="274">
        <v>724.62400000000002</v>
      </c>
      <c r="AT270" s="274">
        <v>728.62599999999998</v>
      </c>
      <c r="AU270" s="274">
        <v>735.46900000000005</v>
      </c>
      <c r="AV270" s="274">
        <v>744.53399999999999</v>
      </c>
      <c r="AW270" s="274">
        <v>755.024</v>
      </c>
      <c r="AX270" s="274">
        <v>765.66600000000005</v>
      </c>
      <c r="AY270" s="274">
        <v>775.49800000000005</v>
      </c>
      <c r="AZ270" s="274">
        <v>784.47900000000004</v>
      </c>
      <c r="BA270" s="274">
        <v>792.85900000000004</v>
      </c>
      <c r="BB270" s="274">
        <v>800.31399999999996</v>
      </c>
      <c r="BC270" s="274">
        <v>806.49400000000003</v>
      </c>
      <c r="BD270" s="274">
        <v>811.22299999999996</v>
      </c>
      <c r="BE270" s="274">
        <v>814.21500000000003</v>
      </c>
      <c r="BF270" s="274">
        <v>815.69100000000003</v>
      </c>
      <c r="BG270" s="274">
        <v>816.62599999999998</v>
      </c>
      <c r="BH270" s="274">
        <v>818.35500000000002</v>
      </c>
      <c r="BI270" s="274">
        <v>821.82</v>
      </c>
      <c r="BJ270" s="274">
        <v>827.39</v>
      </c>
      <c r="BK270" s="274">
        <v>834.72900000000004</v>
      </c>
      <c r="BL270" s="274">
        <v>843.20600000000002</v>
      </c>
      <c r="BM270" s="274">
        <v>851.85400000000004</v>
      </c>
      <c r="BN270" s="274">
        <v>859.952</v>
      </c>
      <c r="BO270" s="274">
        <v>867.327</v>
      </c>
      <c r="BP270" s="274">
        <v>874.15800000000002</v>
      </c>
      <c r="BQ270" s="274">
        <v>880.48699999999997</v>
      </c>
      <c r="BR270" s="274">
        <v>886.45</v>
      </c>
      <c r="BS270" s="274">
        <v>892.14499999999998</v>
      </c>
    </row>
    <row r="271" spans="1:71" x14ac:dyDescent="0.4">
      <c r="A271" s="270">
        <v>252</v>
      </c>
      <c r="B271" s="271" t="s">
        <v>890</v>
      </c>
      <c r="C271" s="276" t="s">
        <v>969</v>
      </c>
      <c r="D271" s="273"/>
      <c r="E271" s="273">
        <v>540</v>
      </c>
      <c r="F271" s="274">
        <v>64.823999999999998</v>
      </c>
      <c r="G271" s="274">
        <v>64.281000000000006</v>
      </c>
      <c r="H271" s="274">
        <v>64.441000000000003</v>
      </c>
      <c r="I271" s="274">
        <v>65.153000000000006</v>
      </c>
      <c r="J271" s="274">
        <v>66.289000000000001</v>
      </c>
      <c r="K271" s="274">
        <v>67.75</v>
      </c>
      <c r="L271" s="274">
        <v>69.457999999999998</v>
      </c>
      <c r="M271" s="274">
        <v>71.364000000000004</v>
      </c>
      <c r="N271" s="274">
        <v>73.438999999999993</v>
      </c>
      <c r="O271" s="274">
        <v>75.671999999999997</v>
      </c>
      <c r="P271" s="274">
        <v>78.058000000000007</v>
      </c>
      <c r="Q271" s="274">
        <v>80.584999999999994</v>
      </c>
      <c r="R271" s="274">
        <v>83.221000000000004</v>
      </c>
      <c r="S271" s="274">
        <v>85.908000000000001</v>
      </c>
      <c r="T271" s="274">
        <v>88.578000000000003</v>
      </c>
      <c r="U271" s="274">
        <v>91.197000000000003</v>
      </c>
      <c r="V271" s="274">
        <v>93.682000000000002</v>
      </c>
      <c r="W271" s="274">
        <v>96.067999999999998</v>
      </c>
      <c r="X271" s="274">
        <v>98.572000000000003</v>
      </c>
      <c r="Y271" s="274">
        <v>101.494</v>
      </c>
      <c r="Z271" s="274">
        <v>105.02500000000001</v>
      </c>
      <c r="AA271" s="274">
        <v>109.26900000000001</v>
      </c>
      <c r="AB271" s="274">
        <v>114.093</v>
      </c>
      <c r="AC271" s="274">
        <v>119.154</v>
      </c>
      <c r="AD271" s="274">
        <v>123.976</v>
      </c>
      <c r="AE271" s="274">
        <v>128.21600000000001</v>
      </c>
      <c r="AF271" s="274">
        <v>131.75800000000001</v>
      </c>
      <c r="AG271" s="274">
        <v>134.71</v>
      </c>
      <c r="AH271" s="274">
        <v>137.22300000000001</v>
      </c>
      <c r="AI271" s="274">
        <v>139.54499999999999</v>
      </c>
      <c r="AJ271" s="274">
        <v>141.86600000000001</v>
      </c>
      <c r="AK271" s="274">
        <v>144.227</v>
      </c>
      <c r="AL271" s="274">
        <v>146.59200000000001</v>
      </c>
      <c r="AM271" s="274">
        <v>148.988</v>
      </c>
      <c r="AN271" s="274">
        <v>151.42699999999999</v>
      </c>
      <c r="AO271" s="274">
        <v>153.929</v>
      </c>
      <c r="AP271" s="274">
        <v>156.50200000000001</v>
      </c>
      <c r="AQ271" s="274">
        <v>159.18</v>
      </c>
      <c r="AR271" s="274">
        <v>162.03</v>
      </c>
      <c r="AS271" s="274">
        <v>165.131</v>
      </c>
      <c r="AT271" s="274">
        <v>168.53700000000001</v>
      </c>
      <c r="AU271" s="274">
        <v>172.274</v>
      </c>
      <c r="AV271" s="274">
        <v>176.31</v>
      </c>
      <c r="AW271" s="274">
        <v>180.554</v>
      </c>
      <c r="AX271" s="274">
        <v>184.88300000000001</v>
      </c>
      <c r="AY271" s="274">
        <v>189.19800000000001</v>
      </c>
      <c r="AZ271" s="274">
        <v>193.471</v>
      </c>
      <c r="BA271" s="274">
        <v>197.70599999999999</v>
      </c>
      <c r="BB271" s="274">
        <v>201.88300000000001</v>
      </c>
      <c r="BC271" s="274">
        <v>205.983</v>
      </c>
      <c r="BD271" s="274">
        <v>209.99700000000001</v>
      </c>
      <c r="BE271" s="274">
        <v>213.904</v>
      </c>
      <c r="BF271" s="274">
        <v>217.70099999999999</v>
      </c>
      <c r="BG271" s="274">
        <v>221.40799999999999</v>
      </c>
      <c r="BH271" s="274">
        <v>225.06</v>
      </c>
      <c r="BI271" s="274">
        <v>228.68299999999999</v>
      </c>
      <c r="BJ271" s="274">
        <v>232.28299999999999</v>
      </c>
      <c r="BK271" s="274">
        <v>235.85400000000001</v>
      </c>
      <c r="BL271" s="274">
        <v>239.392</v>
      </c>
      <c r="BM271" s="274">
        <v>242.89099999999999</v>
      </c>
      <c r="BN271" s="274">
        <v>246.345</v>
      </c>
      <c r="BO271" s="274">
        <v>249.755</v>
      </c>
      <c r="BP271" s="274">
        <v>253.12899999999999</v>
      </c>
      <c r="BQ271" s="274">
        <v>256.47300000000001</v>
      </c>
      <c r="BR271" s="274">
        <v>259.8</v>
      </c>
      <c r="BS271" s="274">
        <v>263.11799999999999</v>
      </c>
    </row>
    <row r="272" spans="1:71" x14ac:dyDescent="0.4">
      <c r="A272" s="270">
        <v>253</v>
      </c>
      <c r="B272" s="271" t="s">
        <v>890</v>
      </c>
      <c r="C272" s="276" t="s">
        <v>648</v>
      </c>
      <c r="D272" s="273"/>
      <c r="E272" s="273">
        <v>598</v>
      </c>
      <c r="F272" s="274">
        <v>1708.192</v>
      </c>
      <c r="G272" s="274">
        <v>1729.2539999999999</v>
      </c>
      <c r="H272" s="274">
        <v>1750.883</v>
      </c>
      <c r="I272" s="274">
        <v>1773.3309999999999</v>
      </c>
      <c r="J272" s="274">
        <v>1796.808</v>
      </c>
      <c r="K272" s="274">
        <v>1821.4960000000001</v>
      </c>
      <c r="L272" s="274">
        <v>1847.5340000000001</v>
      </c>
      <c r="M272" s="274">
        <v>1875.027</v>
      </c>
      <c r="N272" s="274">
        <v>1904.0530000000001</v>
      </c>
      <c r="O272" s="274">
        <v>1934.67</v>
      </c>
      <c r="P272" s="274">
        <v>1966.9570000000001</v>
      </c>
      <c r="Q272" s="274">
        <v>2001.048</v>
      </c>
      <c r="R272" s="274">
        <v>2037.165</v>
      </c>
      <c r="S272" s="274">
        <v>2075.63</v>
      </c>
      <c r="T272" s="274">
        <v>2116.8319999999999</v>
      </c>
      <c r="U272" s="274">
        <v>2161.1030000000001</v>
      </c>
      <c r="V272" s="274">
        <v>2208.422</v>
      </c>
      <c r="W272" s="274">
        <v>2258.877</v>
      </c>
      <c r="X272" s="274">
        <v>2313.0169999999998</v>
      </c>
      <c r="Y272" s="274">
        <v>2371.5149999999999</v>
      </c>
      <c r="Z272" s="274">
        <v>2434.7550000000001</v>
      </c>
      <c r="AA272" s="274">
        <v>2503.0740000000001</v>
      </c>
      <c r="AB272" s="274">
        <v>2576.0929999999998</v>
      </c>
      <c r="AC272" s="274">
        <v>2652.5859999999998</v>
      </c>
      <c r="AD272" s="274">
        <v>2730.8589999999999</v>
      </c>
      <c r="AE272" s="274">
        <v>2809.692</v>
      </c>
      <c r="AF272" s="274">
        <v>2888.509</v>
      </c>
      <c r="AG272" s="274">
        <v>2967.62</v>
      </c>
      <c r="AH272" s="274">
        <v>3047.7689999999998</v>
      </c>
      <c r="AI272" s="274">
        <v>3130.125</v>
      </c>
      <c r="AJ272" s="274">
        <v>3215.4830000000002</v>
      </c>
      <c r="AK272" s="274">
        <v>3304.1880000000001</v>
      </c>
      <c r="AL272" s="274">
        <v>3395.7979999999998</v>
      </c>
      <c r="AM272" s="274">
        <v>3489.402</v>
      </c>
      <c r="AN272" s="274">
        <v>3583.7069999999999</v>
      </c>
      <c r="AO272" s="274">
        <v>3677.8539999999998</v>
      </c>
      <c r="AP272" s="274">
        <v>3771.578</v>
      </c>
      <c r="AQ272" s="274">
        <v>3865.402</v>
      </c>
      <c r="AR272" s="274">
        <v>3960.2429999999999</v>
      </c>
      <c r="AS272" s="274">
        <v>4057.4059999999999</v>
      </c>
      <c r="AT272" s="274">
        <v>4157.9030000000002</v>
      </c>
      <c r="AU272" s="274">
        <v>4261.933</v>
      </c>
      <c r="AV272" s="274">
        <v>4369.4070000000002</v>
      </c>
      <c r="AW272" s="274">
        <v>4480.6890000000003</v>
      </c>
      <c r="AX272" s="274">
        <v>4596.1310000000003</v>
      </c>
      <c r="AY272" s="274">
        <v>4715.9290000000001</v>
      </c>
      <c r="AZ272" s="274">
        <v>4840.3109999999997</v>
      </c>
      <c r="BA272" s="274">
        <v>4969.116</v>
      </c>
      <c r="BB272" s="274">
        <v>5101.6329999999998</v>
      </c>
      <c r="BC272" s="274">
        <v>5236.8630000000003</v>
      </c>
      <c r="BD272" s="274">
        <v>5374.0510000000004</v>
      </c>
      <c r="BE272" s="274">
        <v>5512.835</v>
      </c>
      <c r="BF272" s="274">
        <v>5653.2839999999997</v>
      </c>
      <c r="BG272" s="274">
        <v>5795.5709999999999</v>
      </c>
      <c r="BH272" s="274">
        <v>5940.0479999999998</v>
      </c>
      <c r="BI272" s="274">
        <v>6086.9049999999997</v>
      </c>
      <c r="BJ272" s="274">
        <v>6236.1580000000004</v>
      </c>
      <c r="BK272" s="274">
        <v>6387.47</v>
      </c>
      <c r="BL272" s="274">
        <v>6540.2669999999998</v>
      </c>
      <c r="BM272" s="274">
        <v>6693.799</v>
      </c>
      <c r="BN272" s="274">
        <v>6847.5169999999998</v>
      </c>
      <c r="BO272" s="274">
        <v>7001.1719999999996</v>
      </c>
      <c r="BP272" s="274">
        <v>7154.87</v>
      </c>
      <c r="BQ272" s="274">
        <v>7308.8639999999996</v>
      </c>
      <c r="BR272" s="274">
        <v>7463.5770000000002</v>
      </c>
      <c r="BS272" s="274">
        <v>7619.3209999999999</v>
      </c>
    </row>
    <row r="273" spans="1:71" x14ac:dyDescent="0.4">
      <c r="A273" s="270">
        <v>254</v>
      </c>
      <c r="B273" s="271" t="s">
        <v>890</v>
      </c>
      <c r="C273" s="276" t="s">
        <v>739</v>
      </c>
      <c r="D273" s="273"/>
      <c r="E273" s="273">
        <v>90</v>
      </c>
      <c r="F273" s="274">
        <v>89.793000000000006</v>
      </c>
      <c r="G273" s="274">
        <v>91.808000000000007</v>
      </c>
      <c r="H273" s="274">
        <v>94.078999999999994</v>
      </c>
      <c r="I273" s="274">
        <v>96.561000000000007</v>
      </c>
      <c r="J273" s="274">
        <v>99.221000000000004</v>
      </c>
      <c r="K273" s="274">
        <v>102.027</v>
      </c>
      <c r="L273" s="274">
        <v>104.962</v>
      </c>
      <c r="M273" s="274">
        <v>108.015</v>
      </c>
      <c r="N273" s="274">
        <v>111.181</v>
      </c>
      <c r="O273" s="274">
        <v>114.46299999999999</v>
      </c>
      <c r="P273" s="274">
        <v>117.869</v>
      </c>
      <c r="Q273" s="274">
        <v>121.40300000000001</v>
      </c>
      <c r="R273" s="274">
        <v>125.068</v>
      </c>
      <c r="S273" s="274">
        <v>128.863</v>
      </c>
      <c r="T273" s="274">
        <v>132.78700000000001</v>
      </c>
      <c r="U273" s="274">
        <v>136.84700000000001</v>
      </c>
      <c r="V273" s="274">
        <v>141.02699999999999</v>
      </c>
      <c r="W273" s="274">
        <v>145.35400000000001</v>
      </c>
      <c r="X273" s="274">
        <v>149.92599999999999</v>
      </c>
      <c r="Y273" s="274">
        <v>154.876</v>
      </c>
      <c r="Z273" s="274">
        <v>160.292</v>
      </c>
      <c r="AA273" s="274">
        <v>166.214</v>
      </c>
      <c r="AB273" s="274">
        <v>172.59899999999999</v>
      </c>
      <c r="AC273" s="274">
        <v>179.35400000000001</v>
      </c>
      <c r="AD273" s="274">
        <v>186.33799999999999</v>
      </c>
      <c r="AE273" s="274">
        <v>193.447</v>
      </c>
      <c r="AF273" s="274">
        <v>200.642</v>
      </c>
      <c r="AG273" s="274">
        <v>207.94200000000001</v>
      </c>
      <c r="AH273" s="274">
        <v>215.35300000000001</v>
      </c>
      <c r="AI273" s="274">
        <v>222.905</v>
      </c>
      <c r="AJ273" s="274">
        <v>230.614</v>
      </c>
      <c r="AK273" s="274">
        <v>238.488</v>
      </c>
      <c r="AL273" s="274">
        <v>246.50200000000001</v>
      </c>
      <c r="AM273" s="274">
        <v>254.602</v>
      </c>
      <c r="AN273" s="274">
        <v>262.71899999999999</v>
      </c>
      <c r="AO273" s="274">
        <v>270.80900000000003</v>
      </c>
      <c r="AP273" s="274">
        <v>278.846</v>
      </c>
      <c r="AQ273" s="274">
        <v>286.86799999999999</v>
      </c>
      <c r="AR273" s="274">
        <v>294.96199999999999</v>
      </c>
      <c r="AS273" s="274">
        <v>303.25799999999998</v>
      </c>
      <c r="AT273" s="274">
        <v>311.84899999999999</v>
      </c>
      <c r="AU273" s="274">
        <v>320.76400000000001</v>
      </c>
      <c r="AV273" s="274">
        <v>329.98399999999998</v>
      </c>
      <c r="AW273" s="274">
        <v>339.49</v>
      </c>
      <c r="AX273" s="274">
        <v>349.25</v>
      </c>
      <c r="AY273" s="274">
        <v>359.23599999999999</v>
      </c>
      <c r="AZ273" s="274">
        <v>369.43799999999999</v>
      </c>
      <c r="BA273" s="274">
        <v>379.85899999999998</v>
      </c>
      <c r="BB273" s="274">
        <v>390.48899999999998</v>
      </c>
      <c r="BC273" s="274">
        <v>401.31900000000002</v>
      </c>
      <c r="BD273" s="274">
        <v>412.33600000000001</v>
      </c>
      <c r="BE273" s="274">
        <v>423.53500000000003</v>
      </c>
      <c r="BF273" s="274">
        <v>434.89299999999997</v>
      </c>
      <c r="BG273" s="274">
        <v>446.35199999999998</v>
      </c>
      <c r="BH273" s="274">
        <v>457.84100000000001</v>
      </c>
      <c r="BI273" s="274">
        <v>469.30599999999998</v>
      </c>
      <c r="BJ273" s="274">
        <v>480.71600000000001</v>
      </c>
      <c r="BK273" s="274">
        <v>492.07499999999999</v>
      </c>
      <c r="BL273" s="274">
        <v>503.41</v>
      </c>
      <c r="BM273" s="274">
        <v>514.76700000000005</v>
      </c>
      <c r="BN273" s="274">
        <v>526.17700000000002</v>
      </c>
      <c r="BO273" s="274">
        <v>537.64800000000002</v>
      </c>
      <c r="BP273" s="274">
        <v>549.16200000000003</v>
      </c>
      <c r="BQ273" s="274">
        <v>560.68499999999995</v>
      </c>
      <c r="BR273" s="274">
        <v>572.17100000000005</v>
      </c>
      <c r="BS273" s="274">
        <v>583.59100000000001</v>
      </c>
    </row>
    <row r="274" spans="1:71" x14ac:dyDescent="0.4">
      <c r="A274" s="270">
        <v>255</v>
      </c>
      <c r="B274" s="271" t="s">
        <v>890</v>
      </c>
      <c r="C274" s="276" t="s">
        <v>853</v>
      </c>
      <c r="D274" s="273"/>
      <c r="E274" s="273">
        <v>548</v>
      </c>
      <c r="F274" s="274">
        <v>47.695</v>
      </c>
      <c r="G274" s="274">
        <v>48.918999999999997</v>
      </c>
      <c r="H274" s="274">
        <v>50.295000000000002</v>
      </c>
      <c r="I274" s="274">
        <v>51.774000000000001</v>
      </c>
      <c r="J274" s="274">
        <v>53.325000000000003</v>
      </c>
      <c r="K274" s="274">
        <v>54.923999999999999</v>
      </c>
      <c r="L274" s="274">
        <v>56.564</v>
      </c>
      <c r="M274" s="274">
        <v>58.246000000000002</v>
      </c>
      <c r="N274" s="274">
        <v>59.984000000000002</v>
      </c>
      <c r="O274" s="274">
        <v>61.795999999999999</v>
      </c>
      <c r="P274" s="274">
        <v>63.701000000000001</v>
      </c>
      <c r="Q274" s="274">
        <v>65.707999999999998</v>
      </c>
      <c r="R274" s="274">
        <v>67.805999999999997</v>
      </c>
      <c r="S274" s="274">
        <v>69.962000000000003</v>
      </c>
      <c r="T274" s="274">
        <v>72.131</v>
      </c>
      <c r="U274" s="274">
        <v>74.287000000000006</v>
      </c>
      <c r="V274" s="274">
        <v>76.41</v>
      </c>
      <c r="W274" s="274">
        <v>78.518000000000001</v>
      </c>
      <c r="X274" s="274">
        <v>80.668999999999997</v>
      </c>
      <c r="Y274" s="274">
        <v>82.941000000000003</v>
      </c>
      <c r="Z274" s="274">
        <v>85.388000000000005</v>
      </c>
      <c r="AA274" s="274">
        <v>88.022999999999996</v>
      </c>
      <c r="AB274" s="274">
        <v>90.823999999999998</v>
      </c>
      <c r="AC274" s="274">
        <v>93.760999999999996</v>
      </c>
      <c r="AD274" s="274">
        <v>96.793000000000006</v>
      </c>
      <c r="AE274" s="274">
        <v>99.879000000000005</v>
      </c>
      <c r="AF274" s="274">
        <v>103.024</v>
      </c>
      <c r="AG274" s="274">
        <v>106.223</v>
      </c>
      <c r="AH274" s="274">
        <v>109.429</v>
      </c>
      <c r="AI274" s="274">
        <v>112.57899999999999</v>
      </c>
      <c r="AJ274" s="274">
        <v>115.634</v>
      </c>
      <c r="AK274" s="274">
        <v>118.578</v>
      </c>
      <c r="AL274" s="274">
        <v>121.43300000000001</v>
      </c>
      <c r="AM274" s="274">
        <v>124.248</v>
      </c>
      <c r="AN274" s="274">
        <v>127.09399999999999</v>
      </c>
      <c r="AO274" s="274">
        <v>130.02799999999999</v>
      </c>
      <c r="AP274" s="274">
        <v>133.04</v>
      </c>
      <c r="AQ274" s="274">
        <v>136.12899999999999</v>
      </c>
      <c r="AR274" s="274">
        <v>139.369</v>
      </c>
      <c r="AS274" s="274">
        <v>142.852</v>
      </c>
      <c r="AT274" s="274">
        <v>146.63300000000001</v>
      </c>
      <c r="AU274" s="274">
        <v>150.779</v>
      </c>
      <c r="AV274" s="274">
        <v>155.24199999999999</v>
      </c>
      <c r="AW274" s="274">
        <v>159.81399999999999</v>
      </c>
      <c r="AX274" s="274">
        <v>164.209</v>
      </c>
      <c r="AY274" s="274">
        <v>168.23599999999999</v>
      </c>
      <c r="AZ274" s="274">
        <v>171.80199999999999</v>
      </c>
      <c r="BA274" s="274">
        <v>175.00399999999999</v>
      </c>
      <c r="BB274" s="274">
        <v>178.07400000000001</v>
      </c>
      <c r="BC274" s="274">
        <v>181.346</v>
      </c>
      <c r="BD274" s="274">
        <v>185.05799999999999</v>
      </c>
      <c r="BE274" s="274">
        <v>189.28800000000001</v>
      </c>
      <c r="BF274" s="274">
        <v>193.95699999999999</v>
      </c>
      <c r="BG274" s="274">
        <v>198.96299999999999</v>
      </c>
      <c r="BH274" s="274">
        <v>204.14400000000001</v>
      </c>
      <c r="BI274" s="274">
        <v>209.375</v>
      </c>
      <c r="BJ274" s="274">
        <v>214.63499999999999</v>
      </c>
      <c r="BK274" s="274">
        <v>219.95599999999999</v>
      </c>
      <c r="BL274" s="274">
        <v>225.33500000000001</v>
      </c>
      <c r="BM274" s="274">
        <v>230.78200000000001</v>
      </c>
      <c r="BN274" s="274">
        <v>236.29900000000001</v>
      </c>
      <c r="BO274" s="274">
        <v>241.876</v>
      </c>
      <c r="BP274" s="274">
        <v>247.49799999999999</v>
      </c>
      <c r="BQ274" s="274">
        <v>253.16499999999999</v>
      </c>
      <c r="BR274" s="274">
        <v>258.88299999999998</v>
      </c>
      <c r="BS274" s="274">
        <v>264.65199999999999</v>
      </c>
    </row>
    <row r="275" spans="1:71" x14ac:dyDescent="0.4">
      <c r="A275" s="270">
        <v>256</v>
      </c>
      <c r="B275" s="271" t="s">
        <v>890</v>
      </c>
      <c r="C275" s="277" t="s">
        <v>970</v>
      </c>
      <c r="D275" s="273"/>
      <c r="E275" s="273">
        <v>954</v>
      </c>
      <c r="F275" s="274">
        <v>155.09299999999999</v>
      </c>
      <c r="G275" s="274">
        <v>158.154</v>
      </c>
      <c r="H275" s="274">
        <v>161.22</v>
      </c>
      <c r="I275" s="274">
        <v>164.34399999999999</v>
      </c>
      <c r="J275" s="274">
        <v>167.56700000000001</v>
      </c>
      <c r="K275" s="274">
        <v>170.94300000000001</v>
      </c>
      <c r="L275" s="274">
        <v>174.50800000000001</v>
      </c>
      <c r="M275" s="274">
        <v>178.29900000000001</v>
      </c>
      <c r="N275" s="274">
        <v>182.34800000000001</v>
      </c>
      <c r="O275" s="274">
        <v>186.684</v>
      </c>
      <c r="P275" s="274">
        <v>191.32</v>
      </c>
      <c r="Q275" s="274">
        <v>196.25800000000001</v>
      </c>
      <c r="R275" s="274">
        <v>201.489</v>
      </c>
      <c r="S275" s="274">
        <v>206.96799999999999</v>
      </c>
      <c r="T275" s="274">
        <v>212.65100000000001</v>
      </c>
      <c r="U275" s="274">
        <v>218.48</v>
      </c>
      <c r="V275" s="274">
        <v>224.483</v>
      </c>
      <c r="W275" s="274">
        <v>230.626</v>
      </c>
      <c r="X275" s="274">
        <v>236.74199999999999</v>
      </c>
      <c r="Y275" s="274">
        <v>242.60300000000001</v>
      </c>
      <c r="Z275" s="274">
        <v>248.06800000000001</v>
      </c>
      <c r="AA275" s="274">
        <v>253.09800000000001</v>
      </c>
      <c r="AB275" s="274">
        <v>257.78399999999999</v>
      </c>
      <c r="AC275" s="274">
        <v>262.30900000000003</v>
      </c>
      <c r="AD275" s="274">
        <v>266.92099999999999</v>
      </c>
      <c r="AE275" s="274">
        <v>271.83100000000002</v>
      </c>
      <c r="AF275" s="274">
        <v>277.05700000000002</v>
      </c>
      <c r="AG275" s="274">
        <v>282.62400000000002</v>
      </c>
      <c r="AH275" s="274">
        <v>288.76400000000001</v>
      </c>
      <c r="AI275" s="274">
        <v>295.74700000000001</v>
      </c>
      <c r="AJ275" s="274">
        <v>303.75200000000001</v>
      </c>
      <c r="AK275" s="274">
        <v>312.86599999999999</v>
      </c>
      <c r="AL275" s="274">
        <v>322.99900000000002</v>
      </c>
      <c r="AM275" s="274">
        <v>333.916</v>
      </c>
      <c r="AN275" s="274">
        <v>345.279</v>
      </c>
      <c r="AO275" s="274">
        <v>356.81799999999998</v>
      </c>
      <c r="AP275" s="274">
        <v>368.41300000000001</v>
      </c>
      <c r="AQ275" s="274">
        <v>380.04899999999998</v>
      </c>
      <c r="AR275" s="274">
        <v>391.67099999999999</v>
      </c>
      <c r="AS275" s="274">
        <v>403.25299999999999</v>
      </c>
      <c r="AT275" s="274">
        <v>414.74200000000002</v>
      </c>
      <c r="AU275" s="274">
        <v>426.07600000000002</v>
      </c>
      <c r="AV275" s="274">
        <v>437.13</v>
      </c>
      <c r="AW275" s="274">
        <v>447.71499999999997</v>
      </c>
      <c r="AX275" s="274">
        <v>457.59899999999999</v>
      </c>
      <c r="AY275" s="274">
        <v>466.608</v>
      </c>
      <c r="AZ275" s="274">
        <v>474.68200000000002</v>
      </c>
      <c r="BA275" s="274">
        <v>481.81700000000001</v>
      </c>
      <c r="BB275" s="274">
        <v>487.94099999999997</v>
      </c>
      <c r="BC275" s="274">
        <v>492.99700000000001</v>
      </c>
      <c r="BD275" s="274">
        <v>496.97500000000002</v>
      </c>
      <c r="BE275" s="274">
        <v>499.90300000000002</v>
      </c>
      <c r="BF275" s="274">
        <v>501.875</v>
      </c>
      <c r="BG275" s="274">
        <v>503.00400000000002</v>
      </c>
      <c r="BH275" s="274">
        <v>503.44900000000001</v>
      </c>
      <c r="BI275" s="274">
        <v>503.38</v>
      </c>
      <c r="BJ275" s="274">
        <v>502.79399999999998</v>
      </c>
      <c r="BK275" s="274">
        <v>501.84199999999998</v>
      </c>
      <c r="BL275" s="274">
        <v>501.05700000000002</v>
      </c>
      <c r="BM275" s="274">
        <v>501.11700000000002</v>
      </c>
      <c r="BN275" s="274">
        <v>502.49</v>
      </c>
      <c r="BO275" s="274">
        <v>505.42</v>
      </c>
      <c r="BP275" s="274">
        <v>509.755</v>
      </c>
      <c r="BQ275" s="274">
        <v>515.08199999999999</v>
      </c>
      <c r="BR275" s="274">
        <v>520.76900000000001</v>
      </c>
      <c r="BS275" s="274">
        <v>526.34400000000005</v>
      </c>
    </row>
    <row r="276" spans="1:71" x14ac:dyDescent="0.4">
      <c r="A276" s="270">
        <v>257</v>
      </c>
      <c r="B276" s="271" t="s">
        <v>890</v>
      </c>
      <c r="C276" s="276" t="s">
        <v>971</v>
      </c>
      <c r="D276" s="273"/>
      <c r="E276" s="273">
        <v>316</v>
      </c>
      <c r="F276" s="274">
        <v>59.65</v>
      </c>
      <c r="G276" s="274">
        <v>60.261000000000003</v>
      </c>
      <c r="H276" s="274">
        <v>60.872</v>
      </c>
      <c r="I276" s="274">
        <v>61.470999999999997</v>
      </c>
      <c r="J276" s="274">
        <v>62.058</v>
      </c>
      <c r="K276" s="274">
        <v>62.645000000000003</v>
      </c>
      <c r="L276" s="274">
        <v>63.256</v>
      </c>
      <c r="M276" s="274">
        <v>63.924999999999997</v>
      </c>
      <c r="N276" s="274">
        <v>64.697999999999993</v>
      </c>
      <c r="O276" s="274">
        <v>65.623000000000005</v>
      </c>
      <c r="P276" s="274">
        <v>66.741</v>
      </c>
      <c r="Q276" s="274">
        <v>68.072999999999993</v>
      </c>
      <c r="R276" s="274">
        <v>69.606999999999999</v>
      </c>
      <c r="S276" s="274">
        <v>71.289000000000001</v>
      </c>
      <c r="T276" s="274">
        <v>73.048000000000002</v>
      </c>
      <c r="U276" s="274">
        <v>74.826999999999998</v>
      </c>
      <c r="V276" s="274">
        <v>76.611000000000004</v>
      </c>
      <c r="W276" s="274">
        <v>78.409000000000006</v>
      </c>
      <c r="X276" s="274">
        <v>80.218999999999994</v>
      </c>
      <c r="Y276" s="274">
        <v>82.042000000000002</v>
      </c>
      <c r="Z276" s="274">
        <v>83.88</v>
      </c>
      <c r="AA276" s="274">
        <v>85.727999999999994</v>
      </c>
      <c r="AB276" s="274">
        <v>87.584999999999994</v>
      </c>
      <c r="AC276" s="274">
        <v>89.462999999999994</v>
      </c>
      <c r="AD276" s="274">
        <v>91.381</v>
      </c>
      <c r="AE276" s="274">
        <v>93.353999999999999</v>
      </c>
      <c r="AF276" s="274">
        <v>95.385999999999996</v>
      </c>
      <c r="AG276" s="274">
        <v>97.475999999999999</v>
      </c>
      <c r="AH276" s="274">
        <v>99.628</v>
      </c>
      <c r="AI276" s="274">
        <v>101.846</v>
      </c>
      <c r="AJ276" s="274">
        <v>104.131</v>
      </c>
      <c r="AK276" s="274">
        <v>106.486</v>
      </c>
      <c r="AL276" s="274">
        <v>108.911</v>
      </c>
      <c r="AM276" s="274">
        <v>111.405</v>
      </c>
      <c r="AN276" s="274">
        <v>113.961</v>
      </c>
      <c r="AO276" s="274">
        <v>116.57599999999999</v>
      </c>
      <c r="AP276" s="274">
        <v>119.232</v>
      </c>
      <c r="AQ276" s="274">
        <v>121.92400000000001</v>
      </c>
      <c r="AR276" s="274">
        <v>124.67700000000001</v>
      </c>
      <c r="AS276" s="274">
        <v>127.52500000000001</v>
      </c>
      <c r="AT276" s="274">
        <v>130.482</v>
      </c>
      <c r="AU276" s="274">
        <v>133.553</v>
      </c>
      <c r="AV276" s="274">
        <v>136.696</v>
      </c>
      <c r="AW276" s="274">
        <v>139.82</v>
      </c>
      <c r="AX276" s="274">
        <v>142.80600000000001</v>
      </c>
      <c r="AY276" s="274">
        <v>145.56200000000001</v>
      </c>
      <c r="AZ276" s="274">
        <v>148.06</v>
      </c>
      <c r="BA276" s="274">
        <v>150.30600000000001</v>
      </c>
      <c r="BB276" s="274">
        <v>152.27500000000001</v>
      </c>
      <c r="BC276" s="274">
        <v>153.95099999999999</v>
      </c>
      <c r="BD276" s="274">
        <v>155.328</v>
      </c>
      <c r="BE276" s="274">
        <v>156.417</v>
      </c>
      <c r="BF276" s="274">
        <v>157.24100000000001</v>
      </c>
      <c r="BG276" s="274">
        <v>157.82300000000001</v>
      </c>
      <c r="BH276" s="274">
        <v>158.19399999999999</v>
      </c>
      <c r="BI276" s="274">
        <v>158.40100000000001</v>
      </c>
      <c r="BJ276" s="274">
        <v>158.429</v>
      </c>
      <c r="BK276" s="274">
        <v>158.33199999999999</v>
      </c>
      <c r="BL276" s="274">
        <v>158.31</v>
      </c>
      <c r="BM276" s="274">
        <v>158.62100000000001</v>
      </c>
      <c r="BN276" s="274">
        <v>159.44</v>
      </c>
      <c r="BO276" s="274">
        <v>160.858</v>
      </c>
      <c r="BP276" s="274">
        <v>162.80699999999999</v>
      </c>
      <c r="BQ276" s="274">
        <v>165.12100000000001</v>
      </c>
      <c r="BR276" s="274">
        <v>167.54300000000001</v>
      </c>
      <c r="BS276" s="274">
        <v>169.88499999999999</v>
      </c>
    </row>
    <row r="277" spans="1:71" x14ac:dyDescent="0.4">
      <c r="A277" s="270">
        <v>258</v>
      </c>
      <c r="B277" s="271" t="s">
        <v>890</v>
      </c>
      <c r="C277" s="276" t="s">
        <v>502</v>
      </c>
      <c r="D277" s="273"/>
      <c r="E277" s="273">
        <v>296</v>
      </c>
      <c r="F277" s="274">
        <v>33.049999999999997</v>
      </c>
      <c r="G277" s="274">
        <v>33.627000000000002</v>
      </c>
      <c r="H277" s="274">
        <v>34.283000000000001</v>
      </c>
      <c r="I277" s="274">
        <v>35.003999999999998</v>
      </c>
      <c r="J277" s="274">
        <v>35.777999999999999</v>
      </c>
      <c r="K277" s="274">
        <v>36.597000000000001</v>
      </c>
      <c r="L277" s="274">
        <v>37.454000000000001</v>
      </c>
      <c r="M277" s="274">
        <v>38.347999999999999</v>
      </c>
      <c r="N277" s="274">
        <v>39.276000000000003</v>
      </c>
      <c r="O277" s="274">
        <v>40.237000000000002</v>
      </c>
      <c r="P277" s="274">
        <v>41.234000000000002</v>
      </c>
      <c r="Q277" s="274">
        <v>42.261000000000003</v>
      </c>
      <c r="R277" s="274">
        <v>43.311999999999998</v>
      </c>
      <c r="S277" s="274">
        <v>44.372</v>
      </c>
      <c r="T277" s="274">
        <v>45.423999999999999</v>
      </c>
      <c r="U277" s="274">
        <v>46.454999999999998</v>
      </c>
      <c r="V277" s="274">
        <v>47.460999999999999</v>
      </c>
      <c r="W277" s="274">
        <v>48.44</v>
      </c>
      <c r="X277" s="274">
        <v>49.389000000000003</v>
      </c>
      <c r="Y277" s="274">
        <v>50.302999999999997</v>
      </c>
      <c r="Z277" s="274">
        <v>51.180999999999997</v>
      </c>
      <c r="AA277" s="274">
        <v>52.02</v>
      </c>
      <c r="AB277" s="274">
        <v>52.823</v>
      </c>
      <c r="AC277" s="274">
        <v>53.604999999999997</v>
      </c>
      <c r="AD277" s="274">
        <v>54.381999999999998</v>
      </c>
      <c r="AE277" s="274">
        <v>55.168999999999997</v>
      </c>
      <c r="AF277" s="274">
        <v>55.98</v>
      </c>
      <c r="AG277" s="274">
        <v>56.814999999999998</v>
      </c>
      <c r="AH277" s="274">
        <v>57.664000000000001</v>
      </c>
      <c r="AI277" s="274">
        <v>58.509</v>
      </c>
      <c r="AJ277" s="274">
        <v>59.34</v>
      </c>
      <c r="AK277" s="274">
        <v>60.137</v>
      </c>
      <c r="AL277" s="274">
        <v>60.917999999999999</v>
      </c>
      <c r="AM277" s="274">
        <v>61.76</v>
      </c>
      <c r="AN277" s="274">
        <v>62.768000000000001</v>
      </c>
      <c r="AO277" s="274">
        <v>64.006</v>
      </c>
      <c r="AP277" s="274">
        <v>65.519000000000005</v>
      </c>
      <c r="AQ277" s="274">
        <v>67.262</v>
      </c>
      <c r="AR277" s="274">
        <v>69.103999999999999</v>
      </c>
      <c r="AS277" s="274">
        <v>70.863</v>
      </c>
      <c r="AT277" s="274">
        <v>72.411000000000001</v>
      </c>
      <c r="AU277" s="274">
        <v>73.697999999999993</v>
      </c>
      <c r="AV277" s="274">
        <v>74.772999999999996</v>
      </c>
      <c r="AW277" s="274">
        <v>75.721999999999994</v>
      </c>
      <c r="AX277" s="274">
        <v>76.674000000000007</v>
      </c>
      <c r="AY277" s="274">
        <v>77.727000000000004</v>
      </c>
      <c r="AZ277" s="274">
        <v>78.906999999999996</v>
      </c>
      <c r="BA277" s="274">
        <v>80.19</v>
      </c>
      <c r="BB277" s="274">
        <v>81.555999999999997</v>
      </c>
      <c r="BC277" s="274">
        <v>82.968999999999994</v>
      </c>
      <c r="BD277" s="274">
        <v>84.406000000000006</v>
      </c>
      <c r="BE277" s="274">
        <v>85.858000000000004</v>
      </c>
      <c r="BF277" s="274">
        <v>87.343000000000004</v>
      </c>
      <c r="BG277" s="274">
        <v>88.891999999999996</v>
      </c>
      <c r="BH277" s="274">
        <v>90.545000000000002</v>
      </c>
      <c r="BI277" s="274">
        <v>92.328999999999994</v>
      </c>
      <c r="BJ277" s="274">
        <v>94.257000000000005</v>
      </c>
      <c r="BK277" s="274">
        <v>96.31</v>
      </c>
      <c r="BL277" s="274">
        <v>98.436999999999998</v>
      </c>
      <c r="BM277" s="274">
        <v>100.566</v>
      </c>
      <c r="BN277" s="274">
        <v>102.648</v>
      </c>
      <c r="BO277" s="274">
        <v>104.66200000000001</v>
      </c>
      <c r="BP277" s="274">
        <v>106.62</v>
      </c>
      <c r="BQ277" s="274">
        <v>108.544</v>
      </c>
      <c r="BR277" s="274">
        <v>110.47</v>
      </c>
      <c r="BS277" s="274">
        <v>112.423</v>
      </c>
    </row>
    <row r="278" spans="1:71" x14ac:dyDescent="0.4">
      <c r="A278" s="270">
        <v>259</v>
      </c>
      <c r="B278" s="271" t="s">
        <v>890</v>
      </c>
      <c r="C278" s="276" t="s">
        <v>568</v>
      </c>
      <c r="D278" s="273"/>
      <c r="E278" s="273">
        <v>584</v>
      </c>
      <c r="F278" s="274">
        <v>13</v>
      </c>
      <c r="G278" s="274">
        <v>13.221</v>
      </c>
      <c r="H278" s="274">
        <v>13.436</v>
      </c>
      <c r="I278" s="274">
        <v>13.625999999999999</v>
      </c>
      <c r="J278" s="274">
        <v>13.78</v>
      </c>
      <c r="K278" s="274">
        <v>13.898999999999999</v>
      </c>
      <c r="L278" s="274">
        <v>13.994</v>
      </c>
      <c r="M278" s="274">
        <v>14.087</v>
      </c>
      <c r="N278" s="274">
        <v>14.206</v>
      </c>
      <c r="O278" s="274">
        <v>14.388999999999999</v>
      </c>
      <c r="P278" s="274">
        <v>14.664999999999999</v>
      </c>
      <c r="Q278" s="274">
        <v>15.052</v>
      </c>
      <c r="R278" s="274">
        <v>15.545</v>
      </c>
      <c r="S278" s="274">
        <v>16.111000000000001</v>
      </c>
      <c r="T278" s="274">
        <v>16.702000000000002</v>
      </c>
      <c r="U278" s="274">
        <v>17.283000000000001</v>
      </c>
      <c r="V278" s="274">
        <v>17.84</v>
      </c>
      <c r="W278" s="274">
        <v>18.388000000000002</v>
      </c>
      <c r="X278" s="274">
        <v>18.965</v>
      </c>
      <c r="Y278" s="274">
        <v>19.622</v>
      </c>
      <c r="Z278" s="274">
        <v>20.396999999999998</v>
      </c>
      <c r="AA278" s="274">
        <v>21.31</v>
      </c>
      <c r="AB278" s="274">
        <v>22.34</v>
      </c>
      <c r="AC278" s="274">
        <v>23.44</v>
      </c>
      <c r="AD278" s="274">
        <v>24.536000000000001</v>
      </c>
      <c r="AE278" s="274">
        <v>25.58</v>
      </c>
      <c r="AF278" s="274">
        <v>26.548999999999999</v>
      </c>
      <c r="AG278" s="274">
        <v>27.47</v>
      </c>
      <c r="AH278" s="274">
        <v>28.399000000000001</v>
      </c>
      <c r="AI278" s="274">
        <v>29.416</v>
      </c>
      <c r="AJ278" s="274">
        <v>30.581</v>
      </c>
      <c r="AK278" s="274">
        <v>31.895</v>
      </c>
      <c r="AL278" s="274">
        <v>33.334000000000003</v>
      </c>
      <c r="AM278" s="274">
        <v>34.895000000000003</v>
      </c>
      <c r="AN278" s="274">
        <v>36.567</v>
      </c>
      <c r="AO278" s="274">
        <v>38.334000000000003</v>
      </c>
      <c r="AP278" s="274">
        <v>40.203000000000003</v>
      </c>
      <c r="AQ278" s="274">
        <v>42.148000000000003</v>
      </c>
      <c r="AR278" s="274">
        <v>44.063000000000002</v>
      </c>
      <c r="AS278" s="274">
        <v>45.813000000000002</v>
      </c>
      <c r="AT278" s="274">
        <v>47.3</v>
      </c>
      <c r="AU278" s="274">
        <v>48.481000000000002</v>
      </c>
      <c r="AV278" s="274">
        <v>49.381999999999998</v>
      </c>
      <c r="AW278" s="274">
        <v>50.052</v>
      </c>
      <c r="AX278" s="274">
        <v>50.576999999999998</v>
      </c>
      <c r="AY278" s="274">
        <v>51.02</v>
      </c>
      <c r="AZ278" s="274">
        <v>51.396999999999998</v>
      </c>
      <c r="BA278" s="274">
        <v>51.697000000000003</v>
      </c>
      <c r="BB278" s="274">
        <v>51.921999999999997</v>
      </c>
      <c r="BC278" s="274">
        <v>52.076000000000001</v>
      </c>
      <c r="BD278" s="274">
        <v>52.161000000000001</v>
      </c>
      <c r="BE278" s="274">
        <v>52.183999999999997</v>
      </c>
      <c r="BF278" s="274">
        <v>52.161000000000001</v>
      </c>
      <c r="BG278" s="274">
        <v>52.115000000000002</v>
      </c>
      <c r="BH278" s="274">
        <v>52.073999999999998</v>
      </c>
      <c r="BI278" s="274">
        <v>52.058</v>
      </c>
      <c r="BJ278" s="274">
        <v>52.08</v>
      </c>
      <c r="BK278" s="274">
        <v>52.136000000000003</v>
      </c>
      <c r="BL278" s="274">
        <v>52.220999999999997</v>
      </c>
      <c r="BM278" s="274">
        <v>52.320999999999998</v>
      </c>
      <c r="BN278" s="274">
        <v>52.427999999999997</v>
      </c>
      <c r="BO278" s="274">
        <v>52.540999999999997</v>
      </c>
      <c r="BP278" s="274">
        <v>52.662999999999997</v>
      </c>
      <c r="BQ278" s="274">
        <v>52.786000000000001</v>
      </c>
      <c r="BR278" s="274">
        <v>52.898000000000003</v>
      </c>
      <c r="BS278" s="274">
        <v>52.993000000000002</v>
      </c>
    </row>
    <row r="279" spans="1:71" x14ac:dyDescent="0.4">
      <c r="A279" s="270">
        <v>260</v>
      </c>
      <c r="B279" s="271" t="s">
        <v>890</v>
      </c>
      <c r="C279" s="276" t="s">
        <v>972</v>
      </c>
      <c r="D279" s="273"/>
      <c r="E279" s="273">
        <v>583</v>
      </c>
      <c r="F279" s="274">
        <v>32</v>
      </c>
      <c r="G279" s="274">
        <v>33.4</v>
      </c>
      <c r="H279" s="274">
        <v>34.595999999999997</v>
      </c>
      <c r="I279" s="274">
        <v>35.694000000000003</v>
      </c>
      <c r="J279" s="274">
        <v>36.774000000000001</v>
      </c>
      <c r="K279" s="274">
        <v>37.896000000000001</v>
      </c>
      <c r="L279" s="274">
        <v>39.091999999999999</v>
      </c>
      <c r="M279" s="274">
        <v>40.372</v>
      </c>
      <c r="N279" s="274">
        <v>41.725000000000001</v>
      </c>
      <c r="O279" s="274">
        <v>43.122999999999998</v>
      </c>
      <c r="P279" s="274">
        <v>44.539000000000001</v>
      </c>
      <c r="Q279" s="274">
        <v>45.956000000000003</v>
      </c>
      <c r="R279" s="274">
        <v>47.387</v>
      </c>
      <c r="S279" s="274">
        <v>48.875</v>
      </c>
      <c r="T279" s="274">
        <v>50.482999999999997</v>
      </c>
      <c r="U279" s="274">
        <v>52.238</v>
      </c>
      <c r="V279" s="274">
        <v>54.201000000000001</v>
      </c>
      <c r="W279" s="274">
        <v>56.323999999999998</v>
      </c>
      <c r="X279" s="274">
        <v>58.404000000000003</v>
      </c>
      <c r="Y279" s="274">
        <v>60.167000000000002</v>
      </c>
      <c r="Z279" s="274">
        <v>61.433</v>
      </c>
      <c r="AA279" s="274">
        <v>62.106999999999999</v>
      </c>
      <c r="AB279" s="274">
        <v>62.298000000000002</v>
      </c>
      <c r="AC279" s="274">
        <v>62.289000000000001</v>
      </c>
      <c r="AD279" s="274">
        <v>62.476999999999997</v>
      </c>
      <c r="AE279" s="274">
        <v>63.146000000000001</v>
      </c>
      <c r="AF279" s="274">
        <v>64.385999999999996</v>
      </c>
      <c r="AG279" s="274">
        <v>66.11</v>
      </c>
      <c r="AH279" s="274">
        <v>68.221000000000004</v>
      </c>
      <c r="AI279" s="274">
        <v>70.55</v>
      </c>
      <c r="AJ279" s="274">
        <v>72.966999999999999</v>
      </c>
      <c r="AK279" s="274">
        <v>75.462000000000003</v>
      </c>
      <c r="AL279" s="274">
        <v>78.057000000000002</v>
      </c>
      <c r="AM279" s="274">
        <v>80.677999999999997</v>
      </c>
      <c r="AN279" s="274">
        <v>83.242000000000004</v>
      </c>
      <c r="AO279" s="274">
        <v>85.688999999999993</v>
      </c>
      <c r="AP279" s="274">
        <v>87.947999999999993</v>
      </c>
      <c r="AQ279" s="274">
        <v>90.024000000000001</v>
      </c>
      <c r="AR279" s="274">
        <v>92.02</v>
      </c>
      <c r="AS279" s="274">
        <v>94.090999999999994</v>
      </c>
      <c r="AT279" s="274">
        <v>96.331000000000003</v>
      </c>
      <c r="AU279" s="274">
        <v>98.8</v>
      </c>
      <c r="AV279" s="274">
        <v>101.41200000000001</v>
      </c>
      <c r="AW279" s="274">
        <v>103.937</v>
      </c>
      <c r="AX279" s="274">
        <v>106.057</v>
      </c>
      <c r="AY279" s="274">
        <v>107.556</v>
      </c>
      <c r="AZ279" s="274">
        <v>108.342</v>
      </c>
      <c r="BA279" s="274">
        <v>108.506</v>
      </c>
      <c r="BB279" s="274">
        <v>108.236</v>
      </c>
      <c r="BC279" s="274">
        <v>107.80800000000001</v>
      </c>
      <c r="BD279" s="274">
        <v>107.43</v>
      </c>
      <c r="BE279" s="274">
        <v>107.17</v>
      </c>
      <c r="BF279" s="274">
        <v>106.983</v>
      </c>
      <c r="BG279" s="274">
        <v>106.816</v>
      </c>
      <c r="BH279" s="274">
        <v>106.575</v>
      </c>
      <c r="BI279" s="274">
        <v>106.19799999999999</v>
      </c>
      <c r="BJ279" s="274">
        <v>105.68</v>
      </c>
      <c r="BK279" s="274">
        <v>105.08</v>
      </c>
      <c r="BL279" s="274">
        <v>104.47199999999999</v>
      </c>
      <c r="BM279" s="274">
        <v>103.961</v>
      </c>
      <c r="BN279" s="274">
        <v>103.619</v>
      </c>
      <c r="BO279" s="274">
        <v>103.476</v>
      </c>
      <c r="BP279" s="274">
        <v>103.51600000000001</v>
      </c>
      <c r="BQ279" s="274">
        <v>103.718</v>
      </c>
      <c r="BR279" s="274">
        <v>104.044</v>
      </c>
      <c r="BS279" s="274">
        <v>104.46</v>
      </c>
    </row>
    <row r="280" spans="1:71" x14ac:dyDescent="0.4">
      <c r="A280" s="270">
        <v>261</v>
      </c>
      <c r="B280" s="271" t="s">
        <v>890</v>
      </c>
      <c r="C280" s="276" t="s">
        <v>608</v>
      </c>
      <c r="D280" s="273"/>
      <c r="E280" s="273">
        <v>520</v>
      </c>
      <c r="F280" s="274">
        <v>2.9529999999999998</v>
      </c>
      <c r="G280" s="274">
        <v>3.0590000000000002</v>
      </c>
      <c r="H280" s="274">
        <v>3.1909999999999998</v>
      </c>
      <c r="I280" s="274">
        <v>3.335</v>
      </c>
      <c r="J280" s="274">
        <v>3.4790000000000001</v>
      </c>
      <c r="K280" s="274">
        <v>3.621</v>
      </c>
      <c r="L280" s="274">
        <v>3.76</v>
      </c>
      <c r="M280" s="274">
        <v>3.9009999999999998</v>
      </c>
      <c r="N280" s="274">
        <v>4.0519999999999996</v>
      </c>
      <c r="O280" s="274">
        <v>4.2270000000000003</v>
      </c>
      <c r="P280" s="274">
        <v>4.4329999999999998</v>
      </c>
      <c r="Q280" s="274">
        <v>4.6749999999999998</v>
      </c>
      <c r="R280" s="274">
        <v>4.9470000000000001</v>
      </c>
      <c r="S280" s="274">
        <v>5.2309999999999999</v>
      </c>
      <c r="T280" s="274">
        <v>5.5</v>
      </c>
      <c r="U280" s="274">
        <v>5.7380000000000004</v>
      </c>
      <c r="V280" s="274">
        <v>5.9359999999999999</v>
      </c>
      <c r="W280" s="274">
        <v>6.1020000000000003</v>
      </c>
      <c r="X280" s="274">
        <v>6.2409999999999997</v>
      </c>
      <c r="Y280" s="274">
        <v>6.3680000000000003</v>
      </c>
      <c r="Z280" s="274">
        <v>6.4930000000000003</v>
      </c>
      <c r="AA280" s="274">
        <v>6.6189999999999998</v>
      </c>
      <c r="AB280" s="274">
        <v>6.7430000000000003</v>
      </c>
      <c r="AC280" s="274">
        <v>6.8620000000000001</v>
      </c>
      <c r="AD280" s="274">
        <v>6.9720000000000004</v>
      </c>
      <c r="AE280" s="274">
        <v>7.07</v>
      </c>
      <c r="AF280" s="274">
        <v>7.1559999999999997</v>
      </c>
      <c r="AG280" s="274">
        <v>7.2350000000000003</v>
      </c>
      <c r="AH280" s="274">
        <v>7.3109999999999999</v>
      </c>
      <c r="AI280" s="274">
        <v>7.3929999999999998</v>
      </c>
      <c r="AJ280" s="274">
        <v>7.4880000000000004</v>
      </c>
      <c r="AK280" s="274">
        <v>7.5970000000000004</v>
      </c>
      <c r="AL280" s="274">
        <v>7.7190000000000003</v>
      </c>
      <c r="AM280" s="274">
        <v>7.8550000000000004</v>
      </c>
      <c r="AN280" s="274">
        <v>8.0069999999999997</v>
      </c>
      <c r="AO280" s="274">
        <v>8.1739999999999995</v>
      </c>
      <c r="AP280" s="274">
        <v>8.3559999999999999</v>
      </c>
      <c r="AQ280" s="274">
        <v>8.5500000000000007</v>
      </c>
      <c r="AR280" s="274">
        <v>8.7520000000000007</v>
      </c>
      <c r="AS280" s="274">
        <v>8.9559999999999995</v>
      </c>
      <c r="AT280" s="274">
        <v>9.157</v>
      </c>
      <c r="AU280" s="274">
        <v>9.3539999999999992</v>
      </c>
      <c r="AV280" s="274">
        <v>9.5440000000000005</v>
      </c>
      <c r="AW280" s="274">
        <v>9.7189999999999994</v>
      </c>
      <c r="AX280" s="274">
        <v>9.8629999999999995</v>
      </c>
      <c r="AY280" s="274">
        <v>9.9700000000000006</v>
      </c>
      <c r="AZ280" s="274">
        <v>10.032999999999999</v>
      </c>
      <c r="BA280" s="274">
        <v>10.055999999999999</v>
      </c>
      <c r="BB280" s="274">
        <v>10.054</v>
      </c>
      <c r="BC280" s="274">
        <v>10.044</v>
      </c>
      <c r="BD280" s="274">
        <v>10.042</v>
      </c>
      <c r="BE280" s="274">
        <v>10.053000000000001</v>
      </c>
      <c r="BF280" s="274">
        <v>10.073</v>
      </c>
      <c r="BG280" s="274">
        <v>10.096</v>
      </c>
      <c r="BH280" s="274">
        <v>10.113</v>
      </c>
      <c r="BI280" s="274">
        <v>10.115</v>
      </c>
      <c r="BJ280" s="274">
        <v>10.101000000000001</v>
      </c>
      <c r="BK280" s="274">
        <v>10.074999999999999</v>
      </c>
      <c r="BL280" s="274">
        <v>10.047000000000001</v>
      </c>
      <c r="BM280" s="274">
        <v>10.028</v>
      </c>
      <c r="BN280" s="274">
        <v>10.025</v>
      </c>
      <c r="BO280" s="274">
        <v>10.042999999999999</v>
      </c>
      <c r="BP280" s="274">
        <v>10.079000000000001</v>
      </c>
      <c r="BQ280" s="274">
        <v>10.125</v>
      </c>
      <c r="BR280" s="274">
        <v>10.176</v>
      </c>
      <c r="BS280" s="274">
        <v>10.222</v>
      </c>
    </row>
    <row r="281" spans="1:71" x14ac:dyDescent="0.4">
      <c r="A281" s="270">
        <v>262</v>
      </c>
      <c r="B281" s="271" t="s">
        <v>890</v>
      </c>
      <c r="C281" s="276" t="s">
        <v>973</v>
      </c>
      <c r="D281" s="273"/>
      <c r="E281" s="273">
        <v>580</v>
      </c>
      <c r="F281" s="274">
        <v>6.9989999999999997</v>
      </c>
      <c r="G281" s="274">
        <v>7.0890000000000004</v>
      </c>
      <c r="H281" s="274">
        <v>7.2220000000000004</v>
      </c>
      <c r="I281" s="274">
        <v>7.4169999999999998</v>
      </c>
      <c r="J281" s="274">
        <v>7.6849999999999996</v>
      </c>
      <c r="K281" s="274">
        <v>8.0259999999999998</v>
      </c>
      <c r="L281" s="274">
        <v>8.4269999999999996</v>
      </c>
      <c r="M281" s="274">
        <v>8.8640000000000008</v>
      </c>
      <c r="N281" s="274">
        <v>9.3070000000000004</v>
      </c>
      <c r="O281" s="274">
        <v>9.7210000000000001</v>
      </c>
      <c r="P281" s="274">
        <v>10.07</v>
      </c>
      <c r="Q281" s="274">
        <v>10.34</v>
      </c>
      <c r="R281" s="274">
        <v>10.541</v>
      </c>
      <c r="S281" s="274">
        <v>10.709</v>
      </c>
      <c r="T281" s="274">
        <v>10.901</v>
      </c>
      <c r="U281" s="274">
        <v>11.157</v>
      </c>
      <c r="V281" s="274">
        <v>11.489000000000001</v>
      </c>
      <c r="W281" s="274">
        <v>11.882</v>
      </c>
      <c r="X281" s="274">
        <v>12.318</v>
      </c>
      <c r="Y281" s="274">
        <v>12.766</v>
      </c>
      <c r="Z281" s="274">
        <v>13.202999999999999</v>
      </c>
      <c r="AA281" s="274">
        <v>13.657999999999999</v>
      </c>
      <c r="AB281" s="274">
        <v>14.141999999999999</v>
      </c>
      <c r="AC281" s="274">
        <v>14.605</v>
      </c>
      <c r="AD281" s="274">
        <v>14.978</v>
      </c>
      <c r="AE281" s="274">
        <v>15.231999999999999</v>
      </c>
      <c r="AF281" s="274">
        <v>15.316000000000001</v>
      </c>
      <c r="AG281" s="274">
        <v>15.292999999999999</v>
      </c>
      <c r="AH281" s="274">
        <v>15.39</v>
      </c>
      <c r="AI281" s="274">
        <v>15.906000000000001</v>
      </c>
      <c r="AJ281" s="274">
        <v>17.047999999999998</v>
      </c>
      <c r="AK281" s="274">
        <v>18.905999999999999</v>
      </c>
      <c r="AL281" s="274">
        <v>21.393000000000001</v>
      </c>
      <c r="AM281" s="274">
        <v>24.308</v>
      </c>
      <c r="AN281" s="274">
        <v>27.363</v>
      </c>
      <c r="AO281" s="274">
        <v>30.341000000000001</v>
      </c>
      <c r="AP281" s="274">
        <v>33.173000000000002</v>
      </c>
      <c r="AQ281" s="274">
        <v>35.904000000000003</v>
      </c>
      <c r="AR281" s="274">
        <v>38.57</v>
      </c>
      <c r="AS281" s="274">
        <v>41.243000000000002</v>
      </c>
      <c r="AT281" s="274">
        <v>43.972000000000001</v>
      </c>
      <c r="AU281" s="274">
        <v>46.719000000000001</v>
      </c>
      <c r="AV281" s="274">
        <v>49.429000000000002</v>
      </c>
      <c r="AW281" s="274">
        <v>52.12</v>
      </c>
      <c r="AX281" s="274">
        <v>54.817</v>
      </c>
      <c r="AY281" s="274">
        <v>57.518000000000001</v>
      </c>
      <c r="AZ281" s="274">
        <v>60.247999999999998</v>
      </c>
      <c r="BA281" s="274">
        <v>62.939</v>
      </c>
      <c r="BB281" s="274">
        <v>65.373999999999995</v>
      </c>
      <c r="BC281" s="274">
        <v>67.271000000000001</v>
      </c>
      <c r="BD281" s="274">
        <v>68.433999999999997</v>
      </c>
      <c r="BE281" s="274">
        <v>68.816999999999993</v>
      </c>
      <c r="BF281" s="274">
        <v>68.498999999999995</v>
      </c>
      <c r="BG281" s="274">
        <v>67.561999999999998</v>
      </c>
      <c r="BH281" s="274">
        <v>66.143000000000001</v>
      </c>
      <c r="BI281" s="274">
        <v>64.372</v>
      </c>
      <c r="BJ281" s="274">
        <v>62.234999999999999</v>
      </c>
      <c r="BK281" s="274">
        <v>59.790999999999997</v>
      </c>
      <c r="BL281" s="274">
        <v>57.343000000000004</v>
      </c>
      <c r="BM281" s="274">
        <v>55.276000000000003</v>
      </c>
      <c r="BN281" s="274">
        <v>53.86</v>
      </c>
      <c r="BO281" s="274">
        <v>53.234000000000002</v>
      </c>
      <c r="BP281" s="274">
        <v>53.314</v>
      </c>
      <c r="BQ281" s="274">
        <v>53.869</v>
      </c>
      <c r="BR281" s="274">
        <v>54.540999999999997</v>
      </c>
      <c r="BS281" s="274">
        <v>55.07</v>
      </c>
    </row>
    <row r="282" spans="1:71" x14ac:dyDescent="0.4">
      <c r="A282" s="270">
        <v>263</v>
      </c>
      <c r="B282" s="271" t="s">
        <v>890</v>
      </c>
      <c r="C282" s="276" t="s">
        <v>642</v>
      </c>
      <c r="D282" s="273"/>
      <c r="E282" s="273">
        <v>585</v>
      </c>
      <c r="F282" s="274">
        <v>7.4409999999999998</v>
      </c>
      <c r="G282" s="274">
        <v>7.4969999999999999</v>
      </c>
      <c r="H282" s="274">
        <v>7.62</v>
      </c>
      <c r="I282" s="274">
        <v>7.7969999999999997</v>
      </c>
      <c r="J282" s="274">
        <v>8.0129999999999999</v>
      </c>
      <c r="K282" s="274">
        <v>8.2590000000000003</v>
      </c>
      <c r="L282" s="274">
        <v>8.5250000000000004</v>
      </c>
      <c r="M282" s="274">
        <v>8.8019999999999996</v>
      </c>
      <c r="N282" s="274">
        <v>9.0839999999999996</v>
      </c>
      <c r="O282" s="274">
        <v>9.3640000000000008</v>
      </c>
      <c r="P282" s="274">
        <v>9.6379999999999999</v>
      </c>
      <c r="Q282" s="274">
        <v>9.9009999999999998</v>
      </c>
      <c r="R282" s="274">
        <v>10.15</v>
      </c>
      <c r="S282" s="274">
        <v>10.381</v>
      </c>
      <c r="T282" s="274">
        <v>10.593</v>
      </c>
      <c r="U282" s="274">
        <v>10.782</v>
      </c>
      <c r="V282" s="274">
        <v>10.945</v>
      </c>
      <c r="W282" s="274">
        <v>11.081</v>
      </c>
      <c r="X282" s="274">
        <v>11.206</v>
      </c>
      <c r="Y282" s="274">
        <v>11.335000000000001</v>
      </c>
      <c r="Z282" s="274">
        <v>11.481</v>
      </c>
      <c r="AA282" s="274">
        <v>11.656000000000001</v>
      </c>
      <c r="AB282" s="274">
        <v>11.853</v>
      </c>
      <c r="AC282" s="274">
        <v>12.045</v>
      </c>
      <c r="AD282" s="274">
        <v>12.195</v>
      </c>
      <c r="AE282" s="274">
        <v>12.28</v>
      </c>
      <c r="AF282" s="274">
        <v>12.284000000000001</v>
      </c>
      <c r="AG282" s="274">
        <v>12.225</v>
      </c>
      <c r="AH282" s="274">
        <v>12.151</v>
      </c>
      <c r="AI282" s="274">
        <v>12.127000000000001</v>
      </c>
      <c r="AJ282" s="274">
        <v>12.196999999999999</v>
      </c>
      <c r="AK282" s="274">
        <v>12.382999999999999</v>
      </c>
      <c r="AL282" s="274">
        <v>12.667</v>
      </c>
      <c r="AM282" s="274">
        <v>13.015000000000001</v>
      </c>
      <c r="AN282" s="274">
        <v>13.371</v>
      </c>
      <c r="AO282" s="274">
        <v>13.698</v>
      </c>
      <c r="AP282" s="274">
        <v>13.981999999999999</v>
      </c>
      <c r="AQ282" s="274">
        <v>14.237</v>
      </c>
      <c r="AR282" s="274">
        <v>14.484999999999999</v>
      </c>
      <c r="AS282" s="274">
        <v>14.762</v>
      </c>
      <c r="AT282" s="274">
        <v>15.089</v>
      </c>
      <c r="AU282" s="274">
        <v>15.471</v>
      </c>
      <c r="AV282" s="274">
        <v>15.894</v>
      </c>
      <c r="AW282" s="274">
        <v>16.344999999999999</v>
      </c>
      <c r="AX282" s="274">
        <v>16.805</v>
      </c>
      <c r="AY282" s="274">
        <v>17.254999999999999</v>
      </c>
      <c r="AZ282" s="274">
        <v>17.695</v>
      </c>
      <c r="BA282" s="274">
        <v>18.123000000000001</v>
      </c>
      <c r="BB282" s="274">
        <v>18.524000000000001</v>
      </c>
      <c r="BC282" s="274">
        <v>18.878</v>
      </c>
      <c r="BD282" s="274">
        <v>19.173999999999999</v>
      </c>
      <c r="BE282" s="274">
        <v>19.404</v>
      </c>
      <c r="BF282" s="274">
        <v>19.574999999999999</v>
      </c>
      <c r="BG282" s="274">
        <v>19.7</v>
      </c>
      <c r="BH282" s="274">
        <v>19.805</v>
      </c>
      <c r="BI282" s="274">
        <v>19.907</v>
      </c>
      <c r="BJ282" s="274">
        <v>20.012</v>
      </c>
      <c r="BK282" s="274">
        <v>20.117999999999999</v>
      </c>
      <c r="BL282" s="274">
        <v>20.227</v>
      </c>
      <c r="BM282" s="274">
        <v>20.344000000000001</v>
      </c>
      <c r="BN282" s="274">
        <v>20.47</v>
      </c>
      <c r="BO282" s="274">
        <v>20.606000000000002</v>
      </c>
      <c r="BP282" s="274">
        <v>20.756</v>
      </c>
      <c r="BQ282" s="274">
        <v>20.919</v>
      </c>
      <c r="BR282" s="274">
        <v>21.097000000000001</v>
      </c>
      <c r="BS282" s="274">
        <v>21.291</v>
      </c>
    </row>
    <row r="283" spans="1:71" x14ac:dyDescent="0.4">
      <c r="A283" s="270">
        <v>264</v>
      </c>
      <c r="B283" s="271" t="s">
        <v>890</v>
      </c>
      <c r="C283" s="277" t="s">
        <v>974</v>
      </c>
      <c r="D283" s="273">
        <v>25</v>
      </c>
      <c r="E283" s="273">
        <v>957</v>
      </c>
      <c r="F283" s="274">
        <v>242.011</v>
      </c>
      <c r="G283" s="274">
        <v>249.04599999999999</v>
      </c>
      <c r="H283" s="274">
        <v>255.762</v>
      </c>
      <c r="I283" s="274">
        <v>262.14299999999997</v>
      </c>
      <c r="J283" s="274">
        <v>268.22800000000001</v>
      </c>
      <c r="K283" s="274">
        <v>274.11900000000003</v>
      </c>
      <c r="L283" s="274">
        <v>279.97699999999998</v>
      </c>
      <c r="M283" s="274">
        <v>286.02699999999999</v>
      </c>
      <c r="N283" s="274">
        <v>292.52499999999998</v>
      </c>
      <c r="O283" s="274">
        <v>299.76400000000001</v>
      </c>
      <c r="P283" s="274">
        <v>307.96699999999998</v>
      </c>
      <c r="Q283" s="274">
        <v>317.24</v>
      </c>
      <c r="R283" s="274">
        <v>327.49</v>
      </c>
      <c r="S283" s="274">
        <v>338.39400000000001</v>
      </c>
      <c r="T283" s="274">
        <v>349.49200000000002</v>
      </c>
      <c r="U283" s="274">
        <v>360.41899999999998</v>
      </c>
      <c r="V283" s="274">
        <v>371.10300000000001</v>
      </c>
      <c r="W283" s="274">
        <v>381.55599999999998</v>
      </c>
      <c r="X283" s="274">
        <v>391.584</v>
      </c>
      <c r="Y283" s="274">
        <v>400.98399999999998</v>
      </c>
      <c r="Z283" s="274">
        <v>409.62299999999999</v>
      </c>
      <c r="AA283" s="274">
        <v>417.411</v>
      </c>
      <c r="AB283" s="274">
        <v>424.39699999999999</v>
      </c>
      <c r="AC283" s="274">
        <v>430.79500000000002</v>
      </c>
      <c r="AD283" s="274">
        <v>436.90899999999999</v>
      </c>
      <c r="AE283" s="274">
        <v>442.98500000000001</v>
      </c>
      <c r="AF283" s="274">
        <v>449.06299999999999</v>
      </c>
      <c r="AG283" s="274">
        <v>455.13099999999997</v>
      </c>
      <c r="AH283" s="274">
        <v>461.32299999999998</v>
      </c>
      <c r="AI283" s="274">
        <v>467.77499999999998</v>
      </c>
      <c r="AJ283" s="274">
        <v>474.58</v>
      </c>
      <c r="AK283" s="274">
        <v>481.815</v>
      </c>
      <c r="AL283" s="274">
        <v>489.44200000000001</v>
      </c>
      <c r="AM283" s="274">
        <v>497.29199999999997</v>
      </c>
      <c r="AN283" s="274">
        <v>505.12900000000002</v>
      </c>
      <c r="AO283" s="274">
        <v>512.77</v>
      </c>
      <c r="AP283" s="274">
        <v>520.17100000000005</v>
      </c>
      <c r="AQ283" s="274">
        <v>527.37599999999998</v>
      </c>
      <c r="AR283" s="274">
        <v>534.37900000000002</v>
      </c>
      <c r="AS283" s="274">
        <v>541.202</v>
      </c>
      <c r="AT283" s="274">
        <v>547.86900000000003</v>
      </c>
      <c r="AU283" s="274">
        <v>554.34799999999996</v>
      </c>
      <c r="AV283" s="274">
        <v>560.63900000000001</v>
      </c>
      <c r="AW283" s="274">
        <v>566.84299999999996</v>
      </c>
      <c r="AX283" s="274">
        <v>573.09400000000005</v>
      </c>
      <c r="AY283" s="274">
        <v>579.48299999999995</v>
      </c>
      <c r="AZ283" s="274">
        <v>586.03800000000001</v>
      </c>
      <c r="BA283" s="274">
        <v>592.71</v>
      </c>
      <c r="BB283" s="274">
        <v>599.41600000000005</v>
      </c>
      <c r="BC283" s="274">
        <v>606.04499999999996</v>
      </c>
      <c r="BD283" s="274">
        <v>612.495</v>
      </c>
      <c r="BE283" s="274">
        <v>618.78</v>
      </c>
      <c r="BF283" s="274">
        <v>624.90599999999995</v>
      </c>
      <c r="BG283" s="274">
        <v>630.745</v>
      </c>
      <c r="BH283" s="274">
        <v>636.14499999999998</v>
      </c>
      <c r="BI283" s="274">
        <v>641.02200000000005</v>
      </c>
      <c r="BJ283" s="274">
        <v>645.30100000000004</v>
      </c>
      <c r="BK283" s="274">
        <v>649.06899999999996</v>
      </c>
      <c r="BL283" s="274">
        <v>652.57500000000005</v>
      </c>
      <c r="BM283" s="274">
        <v>656.16899999999998</v>
      </c>
      <c r="BN283" s="274">
        <v>660.10900000000004</v>
      </c>
      <c r="BO283" s="274">
        <v>664.46900000000005</v>
      </c>
      <c r="BP283" s="274">
        <v>669.18399999999997</v>
      </c>
      <c r="BQ283" s="274">
        <v>674.16899999999998</v>
      </c>
      <c r="BR283" s="274">
        <v>679.30100000000004</v>
      </c>
      <c r="BS283" s="274">
        <v>684.46</v>
      </c>
    </row>
    <row r="284" spans="1:71" x14ac:dyDescent="0.4">
      <c r="A284" s="270">
        <v>265</v>
      </c>
      <c r="B284" s="271" t="s">
        <v>890</v>
      </c>
      <c r="C284" s="276" t="s">
        <v>975</v>
      </c>
      <c r="D284" s="273"/>
      <c r="E284" s="273">
        <v>16</v>
      </c>
      <c r="F284" s="274">
        <v>18.937000000000001</v>
      </c>
      <c r="G284" s="274">
        <v>19.295000000000002</v>
      </c>
      <c r="H284" s="274">
        <v>19.542999999999999</v>
      </c>
      <c r="I284" s="274">
        <v>19.683</v>
      </c>
      <c r="J284" s="274">
        <v>19.728999999999999</v>
      </c>
      <c r="K284" s="274">
        <v>19.706</v>
      </c>
      <c r="L284" s="274">
        <v>19.646999999999998</v>
      </c>
      <c r="M284" s="274">
        <v>19.597000000000001</v>
      </c>
      <c r="N284" s="274">
        <v>19.606000000000002</v>
      </c>
      <c r="O284" s="274">
        <v>19.728999999999999</v>
      </c>
      <c r="P284" s="274">
        <v>20.012</v>
      </c>
      <c r="Q284" s="274">
        <v>20.478000000000002</v>
      </c>
      <c r="R284" s="274">
        <v>21.117999999999999</v>
      </c>
      <c r="S284" s="274">
        <v>21.882999999999999</v>
      </c>
      <c r="T284" s="274">
        <v>22.701000000000001</v>
      </c>
      <c r="U284" s="274">
        <v>23.518000000000001</v>
      </c>
      <c r="V284" s="274">
        <v>24.32</v>
      </c>
      <c r="W284" s="274">
        <v>25.116</v>
      </c>
      <c r="X284" s="274">
        <v>25.885999999999999</v>
      </c>
      <c r="Y284" s="274">
        <v>26.614999999999998</v>
      </c>
      <c r="Z284" s="274">
        <v>27.292000000000002</v>
      </c>
      <c r="AA284" s="274">
        <v>27.916</v>
      </c>
      <c r="AB284" s="274">
        <v>28.49</v>
      </c>
      <c r="AC284" s="274">
        <v>29.013999999999999</v>
      </c>
      <c r="AD284" s="274">
        <v>29.491</v>
      </c>
      <c r="AE284" s="274">
        <v>29.931999999999999</v>
      </c>
      <c r="AF284" s="274">
        <v>30.324999999999999</v>
      </c>
      <c r="AG284" s="274">
        <v>30.69</v>
      </c>
      <c r="AH284" s="274">
        <v>31.105</v>
      </c>
      <c r="AI284" s="274">
        <v>31.67</v>
      </c>
      <c r="AJ284" s="274">
        <v>32.456000000000003</v>
      </c>
      <c r="AK284" s="274">
        <v>33.488</v>
      </c>
      <c r="AL284" s="274">
        <v>34.74</v>
      </c>
      <c r="AM284" s="274">
        <v>36.164999999999999</v>
      </c>
      <c r="AN284" s="274">
        <v>37.686999999999998</v>
      </c>
      <c r="AO284" s="274">
        <v>39.247</v>
      </c>
      <c r="AP284" s="274">
        <v>40.835000000000001</v>
      </c>
      <c r="AQ284" s="274">
        <v>42.448</v>
      </c>
      <c r="AR284" s="274">
        <v>44.048999999999999</v>
      </c>
      <c r="AS284" s="274">
        <v>45.591000000000001</v>
      </c>
      <c r="AT284" s="274">
        <v>47.043999999999997</v>
      </c>
      <c r="AU284" s="274">
        <v>48.378999999999998</v>
      </c>
      <c r="AV284" s="274">
        <v>49.597000000000001</v>
      </c>
      <c r="AW284" s="274">
        <v>50.725000000000001</v>
      </c>
      <c r="AX284" s="274">
        <v>51.807000000000002</v>
      </c>
      <c r="AY284" s="274">
        <v>52.874000000000002</v>
      </c>
      <c r="AZ284" s="274">
        <v>53.926000000000002</v>
      </c>
      <c r="BA284" s="274">
        <v>54.942</v>
      </c>
      <c r="BB284" s="274">
        <v>55.899000000000001</v>
      </c>
      <c r="BC284" s="274">
        <v>56.768000000000001</v>
      </c>
      <c r="BD284" s="274">
        <v>57.521999999999998</v>
      </c>
      <c r="BE284" s="274">
        <v>58.176000000000002</v>
      </c>
      <c r="BF284" s="274">
        <v>58.728999999999999</v>
      </c>
      <c r="BG284" s="274">
        <v>59.116999999999997</v>
      </c>
      <c r="BH284" s="274">
        <v>59.262</v>
      </c>
      <c r="BI284" s="274">
        <v>59.116999999999997</v>
      </c>
      <c r="BJ284" s="274">
        <v>58.648000000000003</v>
      </c>
      <c r="BK284" s="274">
        <v>57.904000000000003</v>
      </c>
      <c r="BL284" s="274">
        <v>57.030999999999999</v>
      </c>
      <c r="BM284" s="274">
        <v>56.225999999999999</v>
      </c>
      <c r="BN284" s="274">
        <v>55.636000000000003</v>
      </c>
      <c r="BO284" s="274">
        <v>55.316000000000003</v>
      </c>
      <c r="BP284" s="274">
        <v>55.226999999999997</v>
      </c>
      <c r="BQ284" s="274">
        <v>55.302</v>
      </c>
      <c r="BR284" s="274">
        <v>55.433999999999997</v>
      </c>
      <c r="BS284" s="274">
        <v>55.537999999999997</v>
      </c>
    </row>
    <row r="285" spans="1:71" x14ac:dyDescent="0.4">
      <c r="A285" s="270">
        <v>266</v>
      </c>
      <c r="B285" s="271" t="s">
        <v>890</v>
      </c>
      <c r="C285" s="276" t="s">
        <v>326</v>
      </c>
      <c r="D285" s="273"/>
      <c r="E285" s="273">
        <v>184</v>
      </c>
      <c r="F285" s="274">
        <v>15.079000000000001</v>
      </c>
      <c r="G285" s="274">
        <v>15.411</v>
      </c>
      <c r="H285" s="274">
        <v>15.638</v>
      </c>
      <c r="I285" s="274">
        <v>15.84</v>
      </c>
      <c r="J285" s="274">
        <v>16.074999999999999</v>
      </c>
      <c r="K285" s="274">
        <v>16.373000000000001</v>
      </c>
      <c r="L285" s="274">
        <v>16.739000000000001</v>
      </c>
      <c r="M285" s="274">
        <v>17.155999999999999</v>
      </c>
      <c r="N285" s="274">
        <v>17.584</v>
      </c>
      <c r="O285" s="274">
        <v>17.968</v>
      </c>
      <c r="P285" s="274">
        <v>18.259</v>
      </c>
      <c r="Q285" s="274">
        <v>18.434999999999999</v>
      </c>
      <c r="R285" s="274">
        <v>18.515000000000001</v>
      </c>
      <c r="S285" s="274">
        <v>18.57</v>
      </c>
      <c r="T285" s="274">
        <v>18.699000000000002</v>
      </c>
      <c r="U285" s="274">
        <v>18.969000000000001</v>
      </c>
      <c r="V285" s="274">
        <v>19.408999999999999</v>
      </c>
      <c r="W285" s="274">
        <v>19.978999999999999</v>
      </c>
      <c r="X285" s="274">
        <v>20.584</v>
      </c>
      <c r="Y285" s="274">
        <v>21.091000000000001</v>
      </c>
      <c r="Z285" s="274">
        <v>21.405999999999999</v>
      </c>
      <c r="AA285" s="274">
        <v>21.507000000000001</v>
      </c>
      <c r="AB285" s="274">
        <v>21.422000000000001</v>
      </c>
      <c r="AC285" s="274">
        <v>21.177</v>
      </c>
      <c r="AD285" s="274">
        <v>20.808</v>
      </c>
      <c r="AE285" s="274">
        <v>20.355</v>
      </c>
      <c r="AF285" s="274">
        <v>19.809999999999999</v>
      </c>
      <c r="AG285" s="274">
        <v>19.183</v>
      </c>
      <c r="AH285" s="274">
        <v>18.548999999999999</v>
      </c>
      <c r="AI285" s="274">
        <v>18.006</v>
      </c>
      <c r="AJ285" s="274">
        <v>17.623000000000001</v>
      </c>
      <c r="AK285" s="274">
        <v>17.437000000000001</v>
      </c>
      <c r="AL285" s="274">
        <v>17.425000000000001</v>
      </c>
      <c r="AM285" s="274">
        <v>17.527000000000001</v>
      </c>
      <c r="AN285" s="274">
        <v>17.649000000000001</v>
      </c>
      <c r="AO285" s="274">
        <v>17.722000000000001</v>
      </c>
      <c r="AP285" s="274">
        <v>17.724</v>
      </c>
      <c r="AQ285" s="274">
        <v>17.677</v>
      </c>
      <c r="AR285" s="274">
        <v>17.611000000000001</v>
      </c>
      <c r="AS285" s="274">
        <v>17.579000000000001</v>
      </c>
      <c r="AT285" s="274">
        <v>17.613</v>
      </c>
      <c r="AU285" s="274">
        <v>17.73</v>
      </c>
      <c r="AV285" s="274">
        <v>17.908999999999999</v>
      </c>
      <c r="AW285" s="274">
        <v>18.103000000000002</v>
      </c>
      <c r="AX285" s="274">
        <v>18.25</v>
      </c>
      <c r="AY285" s="274">
        <v>18.305</v>
      </c>
      <c r="AZ285" s="274">
        <v>18.244</v>
      </c>
      <c r="BA285" s="274">
        <v>18.093</v>
      </c>
      <c r="BB285" s="274">
        <v>17.914999999999999</v>
      </c>
      <c r="BC285" s="274">
        <v>17.806000000000001</v>
      </c>
      <c r="BD285" s="274">
        <v>17.826000000000001</v>
      </c>
      <c r="BE285" s="274">
        <v>18.003</v>
      </c>
      <c r="BF285" s="274">
        <v>18.308</v>
      </c>
      <c r="BG285" s="274">
        <v>18.690000000000001</v>
      </c>
      <c r="BH285" s="274">
        <v>19.071999999999999</v>
      </c>
      <c r="BI285" s="274">
        <v>19.399000000000001</v>
      </c>
      <c r="BJ285" s="274">
        <v>19.655999999999999</v>
      </c>
      <c r="BK285" s="274">
        <v>19.859000000000002</v>
      </c>
      <c r="BL285" s="274">
        <v>20.018000000000001</v>
      </c>
      <c r="BM285" s="274">
        <v>20.154</v>
      </c>
      <c r="BN285" s="274">
        <v>20.283999999999999</v>
      </c>
      <c r="BO285" s="274">
        <v>20.407</v>
      </c>
      <c r="BP285" s="274">
        <v>20.518000000000001</v>
      </c>
      <c r="BQ285" s="274">
        <v>20.620999999999999</v>
      </c>
      <c r="BR285" s="274">
        <v>20.725000000000001</v>
      </c>
      <c r="BS285" s="274">
        <v>20.832999999999998</v>
      </c>
    </row>
    <row r="286" spans="1:71" x14ac:dyDescent="0.4">
      <c r="A286" s="270">
        <v>267</v>
      </c>
      <c r="B286" s="271" t="s">
        <v>890</v>
      </c>
      <c r="C286" s="276" t="s">
        <v>976</v>
      </c>
      <c r="D286" s="273"/>
      <c r="E286" s="273">
        <v>258</v>
      </c>
      <c r="F286" s="274">
        <v>60.268000000000001</v>
      </c>
      <c r="G286" s="274">
        <v>62.082999999999998</v>
      </c>
      <c r="H286" s="274">
        <v>63.869</v>
      </c>
      <c r="I286" s="274">
        <v>65.593999999999994</v>
      </c>
      <c r="J286" s="274">
        <v>67.248999999999995</v>
      </c>
      <c r="K286" s="274">
        <v>68.849000000000004</v>
      </c>
      <c r="L286" s="274">
        <v>70.433000000000007</v>
      </c>
      <c r="M286" s="274">
        <v>72.063000000000002</v>
      </c>
      <c r="N286" s="274">
        <v>73.822000000000003</v>
      </c>
      <c r="O286" s="274">
        <v>75.802999999999997</v>
      </c>
      <c r="P286" s="274">
        <v>78.082999999999998</v>
      </c>
      <c r="Q286" s="274">
        <v>80.706000000000003</v>
      </c>
      <c r="R286" s="274">
        <v>83.653999999999996</v>
      </c>
      <c r="S286" s="274">
        <v>86.838999999999999</v>
      </c>
      <c r="T286" s="274">
        <v>90.132000000000005</v>
      </c>
      <c r="U286" s="274">
        <v>93.44</v>
      </c>
      <c r="V286" s="274">
        <v>96.73</v>
      </c>
      <c r="W286" s="274">
        <v>100.03100000000001</v>
      </c>
      <c r="X286" s="274">
        <v>103.38500000000001</v>
      </c>
      <c r="Y286" s="274">
        <v>106.858</v>
      </c>
      <c r="Z286" s="274">
        <v>110.496</v>
      </c>
      <c r="AA286" s="274">
        <v>114.31100000000001</v>
      </c>
      <c r="AB286" s="274">
        <v>118.279</v>
      </c>
      <c r="AC286" s="274">
        <v>122.355</v>
      </c>
      <c r="AD286" s="274">
        <v>126.483</v>
      </c>
      <c r="AE286" s="274">
        <v>130.619</v>
      </c>
      <c r="AF286" s="274">
        <v>134.74299999999999</v>
      </c>
      <c r="AG286" s="274">
        <v>138.86699999999999</v>
      </c>
      <c r="AH286" s="274">
        <v>143.03299999999999</v>
      </c>
      <c r="AI286" s="274">
        <v>147.29900000000001</v>
      </c>
      <c r="AJ286" s="274">
        <v>151.702</v>
      </c>
      <c r="AK286" s="274">
        <v>156.24</v>
      </c>
      <c r="AL286" s="274">
        <v>160.88300000000001</v>
      </c>
      <c r="AM286" s="274">
        <v>165.61099999999999</v>
      </c>
      <c r="AN286" s="274">
        <v>170.39699999999999</v>
      </c>
      <c r="AO286" s="274">
        <v>175.208</v>
      </c>
      <c r="AP286" s="274">
        <v>180.06899999999999</v>
      </c>
      <c r="AQ286" s="274">
        <v>184.958</v>
      </c>
      <c r="AR286" s="274">
        <v>189.74199999999999</v>
      </c>
      <c r="AS286" s="274">
        <v>194.249</v>
      </c>
      <c r="AT286" s="274">
        <v>198.37</v>
      </c>
      <c r="AU286" s="274">
        <v>202.02</v>
      </c>
      <c r="AV286" s="274">
        <v>205.26900000000001</v>
      </c>
      <c r="AW286" s="274">
        <v>208.34899999999999</v>
      </c>
      <c r="AX286" s="274">
        <v>211.584</v>
      </c>
      <c r="AY286" s="274">
        <v>215.2</v>
      </c>
      <c r="AZ286" s="274">
        <v>219.28200000000001</v>
      </c>
      <c r="BA286" s="274">
        <v>223.73400000000001</v>
      </c>
      <c r="BB286" s="274">
        <v>228.38</v>
      </c>
      <c r="BC286" s="274">
        <v>232.95599999999999</v>
      </c>
      <c r="BD286" s="274">
        <v>237.267</v>
      </c>
      <c r="BE286" s="274">
        <v>241.27600000000001</v>
      </c>
      <c r="BF286" s="274">
        <v>245.03200000000001</v>
      </c>
      <c r="BG286" s="274">
        <v>248.536</v>
      </c>
      <c r="BH286" s="274">
        <v>251.81100000000001</v>
      </c>
      <c r="BI286" s="274">
        <v>254.88399999999999</v>
      </c>
      <c r="BJ286" s="274">
        <v>257.73099999999999</v>
      </c>
      <c r="BK286" s="274">
        <v>260.36099999999999</v>
      </c>
      <c r="BL286" s="274">
        <v>262.87700000000001</v>
      </c>
      <c r="BM286" s="274">
        <v>265.41199999999998</v>
      </c>
      <c r="BN286" s="274">
        <v>268.065</v>
      </c>
      <c r="BO286" s="274">
        <v>270.86200000000002</v>
      </c>
      <c r="BP286" s="274">
        <v>273.77499999999998</v>
      </c>
      <c r="BQ286" s="274">
        <v>276.76600000000002</v>
      </c>
      <c r="BR286" s="274">
        <v>279.78100000000001</v>
      </c>
      <c r="BS286" s="274">
        <v>282.76400000000001</v>
      </c>
    </row>
    <row r="287" spans="1:71" x14ac:dyDescent="0.4">
      <c r="A287" s="270">
        <v>268</v>
      </c>
      <c r="B287" s="271" t="s">
        <v>890</v>
      </c>
      <c r="C287" s="276" t="s">
        <v>628</v>
      </c>
      <c r="D287" s="273"/>
      <c r="E287" s="273">
        <v>570</v>
      </c>
      <c r="F287" s="274">
        <v>4.6669999999999998</v>
      </c>
      <c r="G287" s="274">
        <v>4.6820000000000004</v>
      </c>
      <c r="H287" s="274">
        <v>4.6870000000000003</v>
      </c>
      <c r="I287" s="274">
        <v>4.6870000000000003</v>
      </c>
      <c r="J287" s="274">
        <v>4.6870000000000003</v>
      </c>
      <c r="K287" s="274">
        <v>4.6909999999999998</v>
      </c>
      <c r="L287" s="274">
        <v>4.702</v>
      </c>
      <c r="M287" s="274">
        <v>4.7220000000000004</v>
      </c>
      <c r="N287" s="274">
        <v>4.75</v>
      </c>
      <c r="O287" s="274">
        <v>4.7859999999999996</v>
      </c>
      <c r="P287" s="274">
        <v>4.8289999999999997</v>
      </c>
      <c r="Q287" s="274">
        <v>4.8780000000000001</v>
      </c>
      <c r="R287" s="274">
        <v>4.93</v>
      </c>
      <c r="S287" s="274">
        <v>4.9850000000000003</v>
      </c>
      <c r="T287" s="274">
        <v>5.0410000000000004</v>
      </c>
      <c r="U287" s="274">
        <v>5.0949999999999998</v>
      </c>
      <c r="V287" s="274">
        <v>5.1520000000000001</v>
      </c>
      <c r="W287" s="274">
        <v>5.2060000000000004</v>
      </c>
      <c r="X287" s="274">
        <v>5.2380000000000004</v>
      </c>
      <c r="Y287" s="274">
        <v>5.218</v>
      </c>
      <c r="Z287" s="274">
        <v>5.13</v>
      </c>
      <c r="AA287" s="274">
        <v>4.9619999999999997</v>
      </c>
      <c r="AB287" s="274">
        <v>4.7270000000000003</v>
      </c>
      <c r="AC287" s="274">
        <v>4.4539999999999997</v>
      </c>
      <c r="AD287" s="274">
        <v>4.1909999999999998</v>
      </c>
      <c r="AE287" s="274">
        <v>3.972</v>
      </c>
      <c r="AF287" s="274">
        <v>3.8069999999999999</v>
      </c>
      <c r="AG287" s="274">
        <v>3.6880000000000002</v>
      </c>
      <c r="AH287" s="274">
        <v>3.5979999999999999</v>
      </c>
      <c r="AI287" s="274">
        <v>3.5089999999999999</v>
      </c>
      <c r="AJ287" s="274">
        <v>3.4020000000000001</v>
      </c>
      <c r="AK287" s="274">
        <v>3.2719999999999998</v>
      </c>
      <c r="AL287" s="274">
        <v>3.129</v>
      </c>
      <c r="AM287" s="274">
        <v>2.98</v>
      </c>
      <c r="AN287" s="274">
        <v>2.839</v>
      </c>
      <c r="AO287" s="274">
        <v>2.7149999999999999</v>
      </c>
      <c r="AP287" s="274">
        <v>2.61</v>
      </c>
      <c r="AQ287" s="274">
        <v>2.5209999999999999</v>
      </c>
      <c r="AR287" s="274">
        <v>2.4470000000000001</v>
      </c>
      <c r="AS287" s="274">
        <v>2.3849999999999998</v>
      </c>
      <c r="AT287" s="274">
        <v>2.3319999999999999</v>
      </c>
      <c r="AU287" s="274">
        <v>2.2909999999999999</v>
      </c>
      <c r="AV287" s="274">
        <v>2.2589999999999999</v>
      </c>
      <c r="AW287" s="274">
        <v>2.2320000000000002</v>
      </c>
      <c r="AX287" s="274">
        <v>2.2029999999999998</v>
      </c>
      <c r="AY287" s="274">
        <v>2.1669999999999998</v>
      </c>
      <c r="AZ287" s="274">
        <v>2.1219999999999999</v>
      </c>
      <c r="BA287" s="274">
        <v>2.069</v>
      </c>
      <c r="BB287" s="274">
        <v>2.012</v>
      </c>
      <c r="BC287" s="274">
        <v>1.954</v>
      </c>
      <c r="BD287" s="274">
        <v>1.9</v>
      </c>
      <c r="BE287" s="274">
        <v>1.8480000000000001</v>
      </c>
      <c r="BF287" s="274">
        <v>1.8</v>
      </c>
      <c r="BG287" s="274">
        <v>1.756</v>
      </c>
      <c r="BH287" s="274">
        <v>1.718</v>
      </c>
      <c r="BI287" s="274">
        <v>1.6859999999999999</v>
      </c>
      <c r="BJ287" s="274">
        <v>1.6619999999999999</v>
      </c>
      <c r="BK287" s="274">
        <v>1.645</v>
      </c>
      <c r="BL287" s="274">
        <v>1.6339999999999999</v>
      </c>
      <c r="BM287" s="274">
        <v>1.627</v>
      </c>
      <c r="BN287" s="274">
        <v>1.621</v>
      </c>
      <c r="BO287" s="274">
        <v>1.6160000000000001</v>
      </c>
      <c r="BP287" s="274">
        <v>1.613</v>
      </c>
      <c r="BQ287" s="274">
        <v>1.61</v>
      </c>
      <c r="BR287" s="274">
        <v>1.61</v>
      </c>
      <c r="BS287" s="274">
        <v>1.61</v>
      </c>
    </row>
    <row r="288" spans="1:71" x14ac:dyDescent="0.4">
      <c r="A288" s="270">
        <v>269</v>
      </c>
      <c r="B288" s="271" t="s">
        <v>890</v>
      </c>
      <c r="C288" s="276" t="s">
        <v>699</v>
      </c>
      <c r="D288" s="273"/>
      <c r="E288" s="273">
        <v>882</v>
      </c>
      <c r="F288" s="274">
        <v>82.102000000000004</v>
      </c>
      <c r="G288" s="274">
        <v>84.438999999999993</v>
      </c>
      <c r="H288" s="274">
        <v>86.817999999999998</v>
      </c>
      <c r="I288" s="274">
        <v>89.234999999999999</v>
      </c>
      <c r="J288" s="274">
        <v>91.694999999999993</v>
      </c>
      <c r="K288" s="274">
        <v>94.209000000000003</v>
      </c>
      <c r="L288" s="274">
        <v>96.801000000000002</v>
      </c>
      <c r="M288" s="274">
        <v>99.503</v>
      </c>
      <c r="N288" s="274">
        <v>102.352</v>
      </c>
      <c r="O288" s="274">
        <v>105.39100000000001</v>
      </c>
      <c r="P288" s="274">
        <v>108.645</v>
      </c>
      <c r="Q288" s="274">
        <v>112.121</v>
      </c>
      <c r="R288" s="274">
        <v>115.786</v>
      </c>
      <c r="S288" s="274">
        <v>119.56399999999999</v>
      </c>
      <c r="T288" s="274">
        <v>123.354</v>
      </c>
      <c r="U288" s="274">
        <v>127.068</v>
      </c>
      <c r="V288" s="274">
        <v>130.68700000000001</v>
      </c>
      <c r="W288" s="274">
        <v>134.19399999999999</v>
      </c>
      <c r="X288" s="274">
        <v>137.50299999999999</v>
      </c>
      <c r="Y288" s="274">
        <v>140.52000000000001</v>
      </c>
      <c r="Z288" s="274">
        <v>143.17500000000001</v>
      </c>
      <c r="AA288" s="274">
        <v>145.43700000000001</v>
      </c>
      <c r="AB288" s="274">
        <v>147.32300000000001</v>
      </c>
      <c r="AC288" s="274">
        <v>148.88900000000001</v>
      </c>
      <c r="AD288" s="274">
        <v>150.21899999999999</v>
      </c>
      <c r="AE288" s="274">
        <v>151.38300000000001</v>
      </c>
      <c r="AF288" s="274">
        <v>152.38999999999999</v>
      </c>
      <c r="AG288" s="274">
        <v>153.244</v>
      </c>
      <c r="AH288" s="274">
        <v>154.01</v>
      </c>
      <c r="AI288" s="274">
        <v>154.76300000000001</v>
      </c>
      <c r="AJ288" s="274">
        <v>155.554</v>
      </c>
      <c r="AK288" s="274">
        <v>156.435</v>
      </c>
      <c r="AL288" s="274">
        <v>157.40100000000001</v>
      </c>
      <c r="AM288" s="274">
        <v>158.38300000000001</v>
      </c>
      <c r="AN288" s="274">
        <v>159.28100000000001</v>
      </c>
      <c r="AO288" s="274">
        <v>160.03</v>
      </c>
      <c r="AP288" s="274">
        <v>160.59100000000001</v>
      </c>
      <c r="AQ288" s="274">
        <v>161.01400000000001</v>
      </c>
      <c r="AR288" s="274">
        <v>161.42400000000001</v>
      </c>
      <c r="AS288" s="274">
        <v>162.001</v>
      </c>
      <c r="AT288" s="274">
        <v>162.86500000000001</v>
      </c>
      <c r="AU288" s="274">
        <v>164.07300000000001</v>
      </c>
      <c r="AV288" s="274">
        <v>165.56800000000001</v>
      </c>
      <c r="AW288" s="274">
        <v>167.20599999999999</v>
      </c>
      <c r="AX288" s="274">
        <v>168.786</v>
      </c>
      <c r="AY288" s="274">
        <v>170.15799999999999</v>
      </c>
      <c r="AZ288" s="274">
        <v>171.27600000000001</v>
      </c>
      <c r="BA288" s="274">
        <v>172.191</v>
      </c>
      <c r="BB288" s="274">
        <v>172.97900000000001</v>
      </c>
      <c r="BC288" s="274">
        <v>173.75800000000001</v>
      </c>
      <c r="BD288" s="274">
        <v>174.614</v>
      </c>
      <c r="BE288" s="274">
        <v>175.56700000000001</v>
      </c>
      <c r="BF288" s="274">
        <v>176.59200000000001</v>
      </c>
      <c r="BG288" s="274">
        <v>177.67699999999999</v>
      </c>
      <c r="BH288" s="274">
        <v>178.79400000000001</v>
      </c>
      <c r="BI288" s="274">
        <v>179.928</v>
      </c>
      <c r="BJ288" s="274">
        <v>181.072</v>
      </c>
      <c r="BK288" s="274">
        <v>182.238</v>
      </c>
      <c r="BL288" s="274">
        <v>183.44</v>
      </c>
      <c r="BM288" s="274">
        <v>184.7</v>
      </c>
      <c r="BN288" s="274">
        <v>186.029</v>
      </c>
      <c r="BO288" s="274">
        <v>187.434</v>
      </c>
      <c r="BP288" s="274">
        <v>188.90100000000001</v>
      </c>
      <c r="BQ288" s="274">
        <v>190.39</v>
      </c>
      <c r="BR288" s="274">
        <v>191.845</v>
      </c>
      <c r="BS288" s="274">
        <v>193.22800000000001</v>
      </c>
    </row>
    <row r="289" spans="1:71" x14ac:dyDescent="0.4">
      <c r="A289" s="270">
        <v>270</v>
      </c>
      <c r="B289" s="271" t="s">
        <v>890</v>
      </c>
      <c r="C289" s="276" t="s">
        <v>977</v>
      </c>
      <c r="D289" s="273"/>
      <c r="E289" s="273">
        <v>772</v>
      </c>
      <c r="F289" s="274">
        <v>1.57</v>
      </c>
      <c r="G289" s="274">
        <v>1.516</v>
      </c>
      <c r="H289" s="274">
        <v>1.504</v>
      </c>
      <c r="I289" s="274">
        <v>1.522</v>
      </c>
      <c r="J289" s="274">
        <v>1.56</v>
      </c>
      <c r="K289" s="274">
        <v>1.61</v>
      </c>
      <c r="L289" s="274">
        <v>1.6659999999999999</v>
      </c>
      <c r="M289" s="274">
        <v>1.7230000000000001</v>
      </c>
      <c r="N289" s="274">
        <v>1.778</v>
      </c>
      <c r="O289" s="274">
        <v>1.8280000000000001</v>
      </c>
      <c r="P289" s="274">
        <v>1.873</v>
      </c>
      <c r="Q289" s="274">
        <v>1.91</v>
      </c>
      <c r="R289" s="274">
        <v>1.9379999999999999</v>
      </c>
      <c r="S289" s="274">
        <v>1.9510000000000001</v>
      </c>
      <c r="T289" s="274">
        <v>1.948</v>
      </c>
      <c r="U289" s="274">
        <v>1.9239999999999999</v>
      </c>
      <c r="V289" s="274">
        <v>1.8779999999999999</v>
      </c>
      <c r="W289" s="274">
        <v>1.8129999999999999</v>
      </c>
      <c r="X289" s="274">
        <v>1.7390000000000001</v>
      </c>
      <c r="Y289" s="274">
        <v>1.67</v>
      </c>
      <c r="Z289" s="274">
        <v>1.6180000000000001</v>
      </c>
      <c r="AA289" s="274">
        <v>1.587</v>
      </c>
      <c r="AB289" s="274">
        <v>1.5740000000000001</v>
      </c>
      <c r="AC289" s="274">
        <v>1.5740000000000001</v>
      </c>
      <c r="AD289" s="274">
        <v>1.5760000000000001</v>
      </c>
      <c r="AE289" s="274">
        <v>1.5740000000000001</v>
      </c>
      <c r="AF289" s="274">
        <v>1.5660000000000001</v>
      </c>
      <c r="AG289" s="274">
        <v>1.554</v>
      </c>
      <c r="AH289" s="274">
        <v>1.544</v>
      </c>
      <c r="AI289" s="274">
        <v>1.542</v>
      </c>
      <c r="AJ289" s="274">
        <v>1.5529999999999999</v>
      </c>
      <c r="AK289" s="274">
        <v>1.58</v>
      </c>
      <c r="AL289" s="274">
        <v>1.6180000000000001</v>
      </c>
      <c r="AM289" s="274">
        <v>1.66</v>
      </c>
      <c r="AN289" s="274">
        <v>1.694</v>
      </c>
      <c r="AO289" s="274">
        <v>1.7130000000000001</v>
      </c>
      <c r="AP289" s="274">
        <v>1.712</v>
      </c>
      <c r="AQ289" s="274">
        <v>1.696</v>
      </c>
      <c r="AR289" s="274">
        <v>1.669</v>
      </c>
      <c r="AS289" s="274">
        <v>1.637</v>
      </c>
      <c r="AT289" s="274">
        <v>1.609</v>
      </c>
      <c r="AU289" s="274">
        <v>1.583</v>
      </c>
      <c r="AV289" s="274">
        <v>1.5580000000000001</v>
      </c>
      <c r="AW289" s="274">
        <v>1.538</v>
      </c>
      <c r="AX289" s="274">
        <v>1.524</v>
      </c>
      <c r="AY289" s="274">
        <v>1.52</v>
      </c>
      <c r="AZ289" s="274">
        <v>1.5289999999999999</v>
      </c>
      <c r="BA289" s="274">
        <v>1.548</v>
      </c>
      <c r="BB289" s="274">
        <v>1.5660000000000001</v>
      </c>
      <c r="BC289" s="274">
        <v>1.571</v>
      </c>
      <c r="BD289" s="274">
        <v>1.552</v>
      </c>
      <c r="BE289" s="274">
        <v>1.504</v>
      </c>
      <c r="BF289" s="274">
        <v>1.4339999999999999</v>
      </c>
      <c r="BG289" s="274">
        <v>1.351</v>
      </c>
      <c r="BH289" s="274">
        <v>1.272</v>
      </c>
      <c r="BI289" s="274">
        <v>1.21</v>
      </c>
      <c r="BJ289" s="274">
        <v>1.167</v>
      </c>
      <c r="BK289" s="274">
        <v>1.141</v>
      </c>
      <c r="BL289" s="274">
        <v>1.1299999999999999</v>
      </c>
      <c r="BM289" s="274">
        <v>1.129</v>
      </c>
      <c r="BN289" s="274">
        <v>1.135</v>
      </c>
      <c r="BO289" s="274">
        <v>1.1479999999999999</v>
      </c>
      <c r="BP289" s="274">
        <v>1.169</v>
      </c>
      <c r="BQ289" s="274">
        <v>1.1950000000000001</v>
      </c>
      <c r="BR289" s="274">
        <v>1.2230000000000001</v>
      </c>
      <c r="BS289" s="274">
        <v>1.25</v>
      </c>
    </row>
    <row r="290" spans="1:71" x14ac:dyDescent="0.4">
      <c r="A290" s="270">
        <v>271</v>
      </c>
      <c r="B290" s="271" t="s">
        <v>890</v>
      </c>
      <c r="C290" s="276" t="s">
        <v>801</v>
      </c>
      <c r="D290" s="273"/>
      <c r="E290" s="273">
        <v>776</v>
      </c>
      <c r="F290" s="274">
        <v>47.22</v>
      </c>
      <c r="G290" s="274">
        <v>49.311</v>
      </c>
      <c r="H290" s="274">
        <v>51.170999999999999</v>
      </c>
      <c r="I290" s="274">
        <v>52.783999999999999</v>
      </c>
      <c r="J290" s="274">
        <v>54.154000000000003</v>
      </c>
      <c r="K290" s="274">
        <v>55.323999999999998</v>
      </c>
      <c r="L290" s="274">
        <v>56.366</v>
      </c>
      <c r="M290" s="274">
        <v>57.386000000000003</v>
      </c>
      <c r="N290" s="274">
        <v>58.508000000000003</v>
      </c>
      <c r="O290" s="274">
        <v>59.874000000000002</v>
      </c>
      <c r="P290" s="274">
        <v>61.6</v>
      </c>
      <c r="Q290" s="274">
        <v>63.74</v>
      </c>
      <c r="R290" s="274">
        <v>66.254999999999995</v>
      </c>
      <c r="S290" s="274">
        <v>69</v>
      </c>
      <c r="T290" s="274">
        <v>71.757000000000005</v>
      </c>
      <c r="U290" s="274">
        <v>74.363</v>
      </c>
      <c r="V290" s="274">
        <v>76.787000000000006</v>
      </c>
      <c r="W290" s="274">
        <v>79.048000000000002</v>
      </c>
      <c r="X290" s="274">
        <v>81.096000000000004</v>
      </c>
      <c r="Y290" s="274">
        <v>82.879000000000005</v>
      </c>
      <c r="Z290" s="274">
        <v>84.37</v>
      </c>
      <c r="AA290" s="274">
        <v>85.52</v>
      </c>
      <c r="AB290" s="274">
        <v>86.349000000000004</v>
      </c>
      <c r="AC290" s="274">
        <v>86.984999999999999</v>
      </c>
      <c r="AD290" s="274">
        <v>87.608999999999995</v>
      </c>
      <c r="AE290" s="274">
        <v>88.346999999999994</v>
      </c>
      <c r="AF290" s="274">
        <v>89.257999999999996</v>
      </c>
      <c r="AG290" s="274">
        <v>90.296000000000006</v>
      </c>
      <c r="AH290" s="274">
        <v>91.36</v>
      </c>
      <c r="AI290" s="274">
        <v>92.299000000000007</v>
      </c>
      <c r="AJ290" s="274">
        <v>93.007000000000005</v>
      </c>
      <c r="AK290" s="274">
        <v>93.451999999999998</v>
      </c>
      <c r="AL290" s="274">
        <v>93.683000000000007</v>
      </c>
      <c r="AM290" s="274">
        <v>93.775000000000006</v>
      </c>
      <c r="AN290" s="274">
        <v>93.837999999999994</v>
      </c>
      <c r="AO290" s="274">
        <v>93.953000000000003</v>
      </c>
      <c r="AP290" s="274">
        <v>94.147000000000006</v>
      </c>
      <c r="AQ290" s="274">
        <v>94.399000000000001</v>
      </c>
      <c r="AR290" s="274">
        <v>94.68</v>
      </c>
      <c r="AS290" s="274">
        <v>94.942999999999998</v>
      </c>
      <c r="AT290" s="274">
        <v>95.152000000000001</v>
      </c>
      <c r="AU290" s="274">
        <v>95.304000000000002</v>
      </c>
      <c r="AV290" s="274">
        <v>95.421000000000006</v>
      </c>
      <c r="AW290" s="274">
        <v>95.531999999999996</v>
      </c>
      <c r="AX290" s="274">
        <v>95.677999999999997</v>
      </c>
      <c r="AY290" s="274">
        <v>95.888999999999996</v>
      </c>
      <c r="AZ290" s="274">
        <v>96.174000000000007</v>
      </c>
      <c r="BA290" s="274">
        <v>96.525999999999996</v>
      </c>
      <c r="BB290" s="274">
        <v>96.936999999999998</v>
      </c>
      <c r="BC290" s="274">
        <v>97.397999999999996</v>
      </c>
      <c r="BD290" s="274">
        <v>97.897999999999996</v>
      </c>
      <c r="BE290" s="274">
        <v>98.433999999999997</v>
      </c>
      <c r="BF290" s="274">
        <v>99.004999999999995</v>
      </c>
      <c r="BG290" s="274">
        <v>99.605999999999995</v>
      </c>
      <c r="BH290" s="274">
        <v>100.226</v>
      </c>
      <c r="BI290" s="274">
        <v>100.858</v>
      </c>
      <c r="BJ290" s="274">
        <v>101.50700000000001</v>
      </c>
      <c r="BK290" s="274">
        <v>102.169</v>
      </c>
      <c r="BL290" s="274">
        <v>102.816</v>
      </c>
      <c r="BM290" s="274">
        <v>103.416</v>
      </c>
      <c r="BN290" s="274">
        <v>103.947</v>
      </c>
      <c r="BO290" s="274">
        <v>104.392</v>
      </c>
      <c r="BP290" s="274">
        <v>104.76900000000001</v>
      </c>
      <c r="BQ290" s="274">
        <v>105.139</v>
      </c>
      <c r="BR290" s="274">
        <v>105.586</v>
      </c>
      <c r="BS290" s="274">
        <v>106.17</v>
      </c>
    </row>
    <row r="291" spans="1:71" x14ac:dyDescent="0.4">
      <c r="A291" s="270">
        <v>272</v>
      </c>
      <c r="B291" s="271" t="s">
        <v>890</v>
      </c>
      <c r="C291" s="276" t="s">
        <v>821</v>
      </c>
      <c r="D291" s="273"/>
      <c r="E291" s="273">
        <v>798</v>
      </c>
      <c r="F291" s="274">
        <v>5.1660000000000004</v>
      </c>
      <c r="G291" s="274">
        <v>5.2210000000000001</v>
      </c>
      <c r="H291" s="274">
        <v>5.2939999999999996</v>
      </c>
      <c r="I291" s="274">
        <v>5.3780000000000001</v>
      </c>
      <c r="J291" s="274">
        <v>5.468</v>
      </c>
      <c r="K291" s="274">
        <v>5.5620000000000003</v>
      </c>
      <c r="L291" s="274">
        <v>5.6580000000000004</v>
      </c>
      <c r="M291" s="274">
        <v>5.758</v>
      </c>
      <c r="N291" s="274">
        <v>5.8630000000000004</v>
      </c>
      <c r="O291" s="274">
        <v>5.9779999999999998</v>
      </c>
      <c r="P291" s="274">
        <v>6.1040000000000001</v>
      </c>
      <c r="Q291" s="274">
        <v>6.242</v>
      </c>
      <c r="R291" s="274">
        <v>6.391</v>
      </c>
      <c r="S291" s="274">
        <v>6.5419999999999998</v>
      </c>
      <c r="T291" s="274">
        <v>6.6870000000000003</v>
      </c>
      <c r="U291" s="274">
        <v>6.819</v>
      </c>
      <c r="V291" s="274">
        <v>6.9349999999999996</v>
      </c>
      <c r="W291" s="274">
        <v>7.0369999999999999</v>
      </c>
      <c r="X291" s="274">
        <v>7.1280000000000001</v>
      </c>
      <c r="Y291" s="274">
        <v>7.2130000000000001</v>
      </c>
      <c r="Z291" s="274">
        <v>7.2960000000000003</v>
      </c>
      <c r="AA291" s="274">
        <v>7.3789999999999996</v>
      </c>
      <c r="AB291" s="274">
        <v>7.4589999999999996</v>
      </c>
      <c r="AC291" s="274">
        <v>7.5380000000000003</v>
      </c>
      <c r="AD291" s="274">
        <v>7.6130000000000004</v>
      </c>
      <c r="AE291" s="274">
        <v>7.6849999999999996</v>
      </c>
      <c r="AF291" s="274">
        <v>7.7519999999999998</v>
      </c>
      <c r="AG291" s="274">
        <v>7.8159999999999998</v>
      </c>
      <c r="AH291" s="274">
        <v>7.883</v>
      </c>
      <c r="AI291" s="274">
        <v>7.9589999999999996</v>
      </c>
      <c r="AJ291" s="274">
        <v>8.0510000000000002</v>
      </c>
      <c r="AK291" s="274">
        <v>8.16</v>
      </c>
      <c r="AL291" s="274">
        <v>8.2840000000000007</v>
      </c>
      <c r="AM291" s="274">
        <v>8.4130000000000003</v>
      </c>
      <c r="AN291" s="274">
        <v>8.5370000000000008</v>
      </c>
      <c r="AO291" s="274">
        <v>8.6479999999999997</v>
      </c>
      <c r="AP291" s="274">
        <v>8.7409999999999997</v>
      </c>
      <c r="AQ291" s="274">
        <v>8.8209999999999997</v>
      </c>
      <c r="AR291" s="274">
        <v>8.8889999999999993</v>
      </c>
      <c r="AS291" s="274">
        <v>8.9489999999999998</v>
      </c>
      <c r="AT291" s="274">
        <v>9.0039999999999996</v>
      </c>
      <c r="AU291" s="274">
        <v>9.0559999999999992</v>
      </c>
      <c r="AV291" s="274">
        <v>9.1029999999999998</v>
      </c>
      <c r="AW291" s="274">
        <v>9.1479999999999997</v>
      </c>
      <c r="AX291" s="274">
        <v>9.1880000000000006</v>
      </c>
      <c r="AY291" s="274">
        <v>9.2270000000000003</v>
      </c>
      <c r="AZ291" s="274">
        <v>9.2639999999999993</v>
      </c>
      <c r="BA291" s="274">
        <v>9.298</v>
      </c>
      <c r="BB291" s="274">
        <v>9.3339999999999996</v>
      </c>
      <c r="BC291" s="274">
        <v>9.3740000000000006</v>
      </c>
      <c r="BD291" s="274">
        <v>9.4190000000000005</v>
      </c>
      <c r="BE291" s="274">
        <v>9.4710000000000001</v>
      </c>
      <c r="BF291" s="274">
        <v>9.5299999999999994</v>
      </c>
      <c r="BG291" s="274">
        <v>9.59</v>
      </c>
      <c r="BH291" s="274">
        <v>9.6460000000000008</v>
      </c>
      <c r="BI291" s="274">
        <v>9.6940000000000008</v>
      </c>
      <c r="BJ291" s="274">
        <v>9.7319999999999993</v>
      </c>
      <c r="BK291" s="274">
        <v>9.7639999999999993</v>
      </c>
      <c r="BL291" s="274">
        <v>9.7880000000000003</v>
      </c>
      <c r="BM291" s="274">
        <v>9.8079999999999998</v>
      </c>
      <c r="BN291" s="274">
        <v>9.827</v>
      </c>
      <c r="BO291" s="274">
        <v>9.8439999999999994</v>
      </c>
      <c r="BP291" s="274">
        <v>9.86</v>
      </c>
      <c r="BQ291" s="274">
        <v>9.8759999999999994</v>
      </c>
      <c r="BR291" s="274">
        <v>9.8930000000000007</v>
      </c>
      <c r="BS291" s="274">
        <v>9.9160000000000004</v>
      </c>
    </row>
    <row r="292" spans="1:71" x14ac:dyDescent="0.4">
      <c r="A292" s="270">
        <v>273</v>
      </c>
      <c r="B292" s="271" t="s">
        <v>890</v>
      </c>
      <c r="C292" s="276" t="s">
        <v>978</v>
      </c>
      <c r="D292" s="273"/>
      <c r="E292" s="273">
        <v>876</v>
      </c>
      <c r="F292" s="274">
        <v>7.0019999999999998</v>
      </c>
      <c r="G292" s="274">
        <v>7.0880000000000001</v>
      </c>
      <c r="H292" s="274">
        <v>7.2380000000000004</v>
      </c>
      <c r="I292" s="274">
        <v>7.42</v>
      </c>
      <c r="J292" s="274">
        <v>7.6109999999999998</v>
      </c>
      <c r="K292" s="274">
        <v>7.7949999999999999</v>
      </c>
      <c r="L292" s="274">
        <v>7.9649999999999999</v>
      </c>
      <c r="M292" s="274">
        <v>8.1189999999999998</v>
      </c>
      <c r="N292" s="274">
        <v>8.2620000000000005</v>
      </c>
      <c r="O292" s="274">
        <v>8.407</v>
      </c>
      <c r="P292" s="274">
        <v>8.5619999999999994</v>
      </c>
      <c r="Q292" s="274">
        <v>8.73</v>
      </c>
      <c r="R292" s="274">
        <v>8.9030000000000005</v>
      </c>
      <c r="S292" s="274">
        <v>9.06</v>
      </c>
      <c r="T292" s="274">
        <v>9.173</v>
      </c>
      <c r="U292" s="274">
        <v>9.2230000000000008</v>
      </c>
      <c r="V292" s="274">
        <v>9.2050000000000001</v>
      </c>
      <c r="W292" s="274">
        <v>9.1319999999999997</v>
      </c>
      <c r="X292" s="274">
        <v>9.0250000000000004</v>
      </c>
      <c r="Y292" s="274">
        <v>8.92</v>
      </c>
      <c r="Z292" s="274">
        <v>8.84</v>
      </c>
      <c r="AA292" s="274">
        <v>8.7919999999999998</v>
      </c>
      <c r="AB292" s="274">
        <v>8.7739999999999991</v>
      </c>
      <c r="AC292" s="274">
        <v>8.8089999999999993</v>
      </c>
      <c r="AD292" s="274">
        <v>8.9190000000000005</v>
      </c>
      <c r="AE292" s="274">
        <v>9.1180000000000003</v>
      </c>
      <c r="AF292" s="274">
        <v>9.4120000000000008</v>
      </c>
      <c r="AG292" s="274">
        <v>9.7929999999999993</v>
      </c>
      <c r="AH292" s="274">
        <v>10.241</v>
      </c>
      <c r="AI292" s="274">
        <v>10.728</v>
      </c>
      <c r="AJ292" s="274">
        <v>11.231999999999999</v>
      </c>
      <c r="AK292" s="274">
        <v>11.750999999999999</v>
      </c>
      <c r="AL292" s="274">
        <v>12.279</v>
      </c>
      <c r="AM292" s="274">
        <v>12.778</v>
      </c>
      <c r="AN292" s="274">
        <v>13.207000000000001</v>
      </c>
      <c r="AO292" s="274">
        <v>13.534000000000001</v>
      </c>
      <c r="AP292" s="274">
        <v>13.742000000000001</v>
      </c>
      <c r="AQ292" s="274">
        <v>13.842000000000001</v>
      </c>
      <c r="AR292" s="274">
        <v>13.868</v>
      </c>
      <c r="AS292" s="274">
        <v>13.868</v>
      </c>
      <c r="AT292" s="274">
        <v>13.88</v>
      </c>
      <c r="AU292" s="274">
        <v>13.912000000000001</v>
      </c>
      <c r="AV292" s="274">
        <v>13.955</v>
      </c>
      <c r="AW292" s="274">
        <v>14.01</v>
      </c>
      <c r="AX292" s="274">
        <v>14.074</v>
      </c>
      <c r="AY292" s="274">
        <v>14.143000000000001</v>
      </c>
      <c r="AZ292" s="274">
        <v>14.221</v>
      </c>
      <c r="BA292" s="274">
        <v>14.308999999999999</v>
      </c>
      <c r="BB292" s="274">
        <v>14.394</v>
      </c>
      <c r="BC292" s="274">
        <v>14.46</v>
      </c>
      <c r="BD292" s="274">
        <v>14.497</v>
      </c>
      <c r="BE292" s="274">
        <v>14.500999999999999</v>
      </c>
      <c r="BF292" s="274">
        <v>14.476000000000001</v>
      </c>
      <c r="BG292" s="274">
        <v>14.422000000000001</v>
      </c>
      <c r="BH292" s="274">
        <v>14.343999999999999</v>
      </c>
      <c r="BI292" s="274">
        <v>14.246</v>
      </c>
      <c r="BJ292" s="274">
        <v>14.125999999999999</v>
      </c>
      <c r="BK292" s="274">
        <v>13.988</v>
      </c>
      <c r="BL292" s="274">
        <v>13.840999999999999</v>
      </c>
      <c r="BM292" s="274">
        <v>13.696999999999999</v>
      </c>
      <c r="BN292" s="274">
        <v>13.565</v>
      </c>
      <c r="BO292" s="274">
        <v>13.45</v>
      </c>
      <c r="BP292" s="274">
        <v>13.352</v>
      </c>
      <c r="BQ292" s="274">
        <v>13.27</v>
      </c>
      <c r="BR292" s="274">
        <v>13.204000000000001</v>
      </c>
      <c r="BS292" s="274">
        <v>13.151</v>
      </c>
    </row>
  </sheetData>
  <mergeCells count="15">
    <mergeCell ref="A8:I8"/>
    <mergeCell ref="A1:I1"/>
    <mergeCell ref="A2:I2"/>
    <mergeCell ref="A5:I5"/>
    <mergeCell ref="A6:I6"/>
    <mergeCell ref="A7:I7"/>
    <mergeCell ref="A15:I15"/>
    <mergeCell ref="A16:I16"/>
    <mergeCell ref="A17:I17"/>
    <mergeCell ref="A9:I9"/>
    <mergeCell ref="A10:I10"/>
    <mergeCell ref="A11:I11"/>
    <mergeCell ref="A12:I12"/>
    <mergeCell ref="A13:I13"/>
    <mergeCell ref="A14:I14"/>
  </mergeCells>
  <pageMargins left="0.7" right="0.7" top="0.75" bottom="0.75" header="0.3" footer="0.3"/>
  <pageSetup paperSize="126" orientation="portrait" horizontalDpi="4294967293" verticalDpi="0"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71">
    <tabColor theme="8" tint="-0.249977111117893"/>
  </sheetPr>
  <dimension ref="A1:S117"/>
  <sheetViews>
    <sheetView zoomScale="90" zoomScaleNormal="90" workbookViewId="0">
      <selection activeCell="C7" sqref="C7"/>
    </sheetView>
  </sheetViews>
  <sheetFormatPr defaultColWidth="8.84375" defaultRowHeight="14.6" x14ac:dyDescent="0.4"/>
  <cols>
    <col min="1" max="1" width="4.3046875" customWidth="1"/>
    <col min="2" max="2" width="61.4609375" customWidth="1"/>
    <col min="3" max="3" width="13.69140625" customWidth="1"/>
    <col min="4" max="4" width="12.69140625" customWidth="1"/>
    <col min="5" max="6" width="12.4609375" customWidth="1"/>
  </cols>
  <sheetData>
    <row r="1" spans="1:19" s="129" customFormat="1" x14ac:dyDescent="0.4">
      <c r="A1" s="141" t="s">
        <v>979</v>
      </c>
      <c r="B1" s="227"/>
      <c r="C1" s="227"/>
      <c r="D1" s="227"/>
      <c r="E1" s="227"/>
      <c r="F1" s="227"/>
      <c r="G1" s="227"/>
      <c r="H1" s="227"/>
      <c r="I1" s="227"/>
      <c r="J1" s="227"/>
      <c r="K1" s="227"/>
      <c r="L1" s="227"/>
      <c r="M1" s="227"/>
      <c r="N1" s="227"/>
      <c r="O1" s="227"/>
      <c r="P1" s="227"/>
      <c r="Q1" s="227"/>
      <c r="R1" s="227"/>
      <c r="S1" s="227"/>
    </row>
    <row r="2" spans="1:19" s="146" customFormat="1" x14ac:dyDescent="0.4">
      <c r="A2" s="143">
        <f>IF(subnational="Y",subnational_name&amp;", "&amp;selected_country,selected_country)</f>
        <v>0</v>
      </c>
      <c r="C2" s="145"/>
    </row>
    <row r="3" spans="1:19" ht="15" thickBot="1" x14ac:dyDescent="0.45">
      <c r="A3" s="1"/>
    </row>
    <row r="4" spans="1:19" ht="15" thickBot="1" x14ac:dyDescent="0.45">
      <c r="C4" s="5">
        <f>baseline_year</f>
        <v>0</v>
      </c>
      <c r="D4" s="6">
        <f>baseline_year+1</f>
        <v>1</v>
      </c>
      <c r="E4" s="6">
        <f t="shared" ref="E4:F4" si="0">D4+1</f>
        <v>2</v>
      </c>
      <c r="F4" s="6">
        <f t="shared" si="0"/>
        <v>3</v>
      </c>
    </row>
    <row r="5" spans="1:19" ht="15" thickBot="1" x14ac:dyDescent="0.45">
      <c r="C5" s="8"/>
      <c r="D5" s="9"/>
      <c r="E5" s="9"/>
      <c r="F5" s="9"/>
    </row>
    <row r="6" spans="1:19" x14ac:dyDescent="0.4">
      <c r="B6" s="59" t="s">
        <v>980</v>
      </c>
      <c r="C6" s="197">
        <v>8500000</v>
      </c>
      <c r="D6" s="197">
        <f>C6</f>
        <v>8500000</v>
      </c>
      <c r="E6" s="197">
        <f t="shared" ref="E6:F6" si="1">D6</f>
        <v>8500000</v>
      </c>
      <c r="F6" s="197">
        <f t="shared" si="1"/>
        <v>8500000</v>
      </c>
    </row>
    <row r="7" spans="1:19" s="18" customFormat="1" x14ac:dyDescent="0.4">
      <c r="B7" s="278" t="s">
        <v>981</v>
      </c>
      <c r="C7" s="202">
        <f>IF(subnational="N",0,subnat_pop)</f>
        <v>0</v>
      </c>
      <c r="D7" s="202">
        <f>IF(subnational="N",0,'Program_Scale-up'!D15)</f>
        <v>0</v>
      </c>
      <c r="E7" s="202">
        <f>IF(subnational="N",0,'Program_Scale-up'!E15)</f>
        <v>0</v>
      </c>
      <c r="F7" s="202">
        <f>IF(subnational="N",0,'Program_Scale-up'!F15)</f>
        <v>0</v>
      </c>
    </row>
    <row r="8" spans="1:19" s="18" customFormat="1" x14ac:dyDescent="0.4">
      <c r="B8" s="278" t="s">
        <v>982</v>
      </c>
      <c r="C8" s="202">
        <f>'Program_Scale-up'!C16</f>
        <v>0</v>
      </c>
      <c r="D8" s="202">
        <f>'Program_Scale-up'!D16</f>
        <v>0</v>
      </c>
      <c r="E8" s="202">
        <f>'Program_Scale-up'!E16</f>
        <v>0</v>
      </c>
      <c r="F8" s="202">
        <f>'Program_Scale-up'!F16</f>
        <v>0</v>
      </c>
    </row>
    <row r="9" spans="1:19" s="18" customFormat="1" x14ac:dyDescent="0.4">
      <c r="B9" s="278" t="s">
        <v>983</v>
      </c>
      <c r="C9" s="202">
        <f>'Program_Scale-up'!C17</f>
        <v>0</v>
      </c>
      <c r="D9" s="202">
        <f>'Program_Scale-up'!D17</f>
        <v>0</v>
      </c>
      <c r="E9" s="202">
        <f>'Program_Scale-up'!E17</f>
        <v>0</v>
      </c>
      <c r="F9" s="202">
        <f>'Program_Scale-up'!F17</f>
        <v>0</v>
      </c>
    </row>
    <row r="10" spans="1:19" s="18" customFormat="1" x14ac:dyDescent="0.4">
      <c r="B10" s="62" t="s">
        <v>59</v>
      </c>
      <c r="C10" s="279">
        <f>national_pop_growth</f>
        <v>0</v>
      </c>
      <c r="D10" s="279">
        <f>C10</f>
        <v>0</v>
      </c>
      <c r="E10" s="279">
        <f t="shared" ref="E10:F10" si="2">D10</f>
        <v>0</v>
      </c>
      <c r="F10" s="279">
        <f t="shared" si="2"/>
        <v>0</v>
      </c>
    </row>
    <row r="11" spans="1:19" s="18" customFormat="1" x14ac:dyDescent="0.4">
      <c r="B11" s="62" t="s">
        <v>984</v>
      </c>
      <c r="C11" s="42">
        <f>'Program_Scale-up'!C18</f>
        <v>0</v>
      </c>
      <c r="D11" s="42">
        <f>'Program_Scale-up'!D18</f>
        <v>0</v>
      </c>
      <c r="E11" s="42">
        <f>'Program_Scale-up'!E18</f>
        <v>0</v>
      </c>
      <c r="F11" s="42">
        <f>'Program_Scale-up'!F18</f>
        <v>0</v>
      </c>
    </row>
    <row r="12" spans="1:19" s="18" customFormat="1" x14ac:dyDescent="0.4">
      <c r="B12" s="62" t="s">
        <v>985</v>
      </c>
      <c r="C12" s="45">
        <f>'Program_Scale-up'!C19</f>
        <v>0</v>
      </c>
      <c r="D12" s="45">
        <f>'Program_Scale-up'!D19</f>
        <v>0</v>
      </c>
      <c r="E12" s="45">
        <f>'Program_Scale-up'!E19</f>
        <v>0</v>
      </c>
      <c r="F12" s="45">
        <f>'Program_Scale-up'!F19</f>
        <v>0</v>
      </c>
    </row>
    <row r="13" spans="1:19" s="18" customFormat="1" x14ac:dyDescent="0.4">
      <c r="B13" s="62" t="s">
        <v>986</v>
      </c>
      <c r="C13" s="42">
        <f>'Program_Scale-up'!C20</f>
        <v>0</v>
      </c>
      <c r="D13" s="42">
        <f>'Program_Scale-up'!D20</f>
        <v>0</v>
      </c>
      <c r="E13" s="42">
        <f>'Program_Scale-up'!E20</f>
        <v>0</v>
      </c>
      <c r="F13" s="42">
        <f>'Program_Scale-up'!F20</f>
        <v>0</v>
      </c>
    </row>
    <row r="14" spans="1:19" s="18" customFormat="1" x14ac:dyDescent="0.4">
      <c r="B14" s="62" t="s">
        <v>987</v>
      </c>
      <c r="C14" s="45">
        <f>'Program_Scale-up'!C21</f>
        <v>0</v>
      </c>
      <c r="D14" s="45">
        <f>'Program_Scale-up'!D21</f>
        <v>0</v>
      </c>
      <c r="E14" s="45">
        <f>'Program_Scale-up'!E21</f>
        <v>0</v>
      </c>
      <c r="F14" s="45">
        <f>'Program_Scale-up'!F21</f>
        <v>0</v>
      </c>
    </row>
    <row r="15" spans="1:19" s="18" customFormat="1" x14ac:dyDescent="0.4">
      <c r="B15" s="62" t="s">
        <v>988</v>
      </c>
      <c r="C15" s="42">
        <f>'Program_Scale-up'!C22</f>
        <v>0</v>
      </c>
      <c r="D15" s="42">
        <f>'Program_Scale-up'!D22</f>
        <v>0</v>
      </c>
      <c r="E15" s="42">
        <f>'Program_Scale-up'!E22</f>
        <v>0</v>
      </c>
      <c r="F15" s="42">
        <f>'Program_Scale-up'!F22</f>
        <v>0</v>
      </c>
    </row>
    <row r="16" spans="1:19" s="18" customFormat="1" x14ac:dyDescent="0.4">
      <c r="B16" s="62" t="s">
        <v>989</v>
      </c>
      <c r="C16" s="45">
        <f>'Program_Scale-up'!C23</f>
        <v>0</v>
      </c>
      <c r="D16" s="45">
        <f>'Program_Scale-up'!D23</f>
        <v>0</v>
      </c>
      <c r="E16" s="45">
        <f>'Program_Scale-up'!E23</f>
        <v>0</v>
      </c>
      <c r="F16" s="45">
        <f>'Program_Scale-up'!F23</f>
        <v>0</v>
      </c>
    </row>
    <row r="17" spans="2:6" s="18" customFormat="1" x14ac:dyDescent="0.4">
      <c r="B17" s="62" t="s">
        <v>990</v>
      </c>
      <c r="C17" s="280">
        <f t="shared" ref="C17:F17" si="3">household_size</f>
        <v>0</v>
      </c>
      <c r="D17" s="280">
        <f t="shared" si="3"/>
        <v>0</v>
      </c>
      <c r="E17" s="280">
        <f t="shared" si="3"/>
        <v>0</v>
      </c>
      <c r="F17" s="280">
        <f t="shared" si="3"/>
        <v>0</v>
      </c>
    </row>
    <row r="18" spans="2:6" s="18" customFormat="1" x14ac:dyDescent="0.4">
      <c r="B18" s="62" t="s">
        <v>991</v>
      </c>
      <c r="C18" s="281">
        <f>IF(selected_country="",0,(INDEX(country_database,MATCH(selected_country,country_list,0),MATCH(B18,database_indicators,0))))</f>
        <v>0</v>
      </c>
      <c r="D18" s="282">
        <f>C18</f>
        <v>0</v>
      </c>
      <c r="E18" s="282">
        <f t="shared" ref="E18:F19" si="4">D18</f>
        <v>0</v>
      </c>
      <c r="F18" s="282">
        <f t="shared" si="4"/>
        <v>0</v>
      </c>
    </row>
    <row r="19" spans="2:6" s="18" customFormat="1" ht="15" thickBot="1" x14ac:dyDescent="0.45">
      <c r="B19" s="70" t="s">
        <v>992</v>
      </c>
      <c r="C19" s="283">
        <f>IF(selected_country="",0,(INDEX(country_database,MATCH(selected_country,country_list,0),MATCH(B19,database_indicators,0))))</f>
        <v>0</v>
      </c>
      <c r="D19" s="284">
        <f>C19</f>
        <v>0</v>
      </c>
      <c r="E19" s="284">
        <f t="shared" si="4"/>
        <v>0</v>
      </c>
      <c r="F19" s="284">
        <f t="shared" si="4"/>
        <v>0</v>
      </c>
    </row>
    <row r="20" spans="2:6" s="18" customFormat="1" ht="15" thickBot="1" x14ac:dyDescent="0.45"/>
    <row r="21" spans="2:6" s="18" customFormat="1" ht="15" thickBot="1" x14ac:dyDescent="0.45">
      <c r="B21" s="285" t="s">
        <v>189</v>
      </c>
      <c r="C21" s="5">
        <f>baseline_year</f>
        <v>0</v>
      </c>
      <c r="D21" s="6">
        <f>baseline_year+1</f>
        <v>1</v>
      </c>
      <c r="E21" s="6">
        <f t="shared" ref="E21:F21" si="5">D21+1</f>
        <v>2</v>
      </c>
      <c r="F21" s="6">
        <f t="shared" si="5"/>
        <v>3</v>
      </c>
    </row>
    <row r="22" spans="2:6" s="18" customFormat="1" x14ac:dyDescent="0.4">
      <c r="B22" s="62" t="s">
        <v>993</v>
      </c>
      <c r="C22" s="202">
        <f>ROUND(C12,0)</f>
        <v>0</v>
      </c>
      <c r="D22" s="202">
        <f t="shared" ref="D22:F22" si="6">ROUND(D12,0)</f>
        <v>0</v>
      </c>
      <c r="E22" s="202">
        <f>ROUND(E12,0)</f>
        <v>0</v>
      </c>
      <c r="F22" s="202">
        <f t="shared" si="6"/>
        <v>0</v>
      </c>
    </row>
    <row r="23" spans="2:6" s="18" customFormat="1" x14ac:dyDescent="0.4">
      <c r="B23" s="62" t="s">
        <v>1037</v>
      </c>
      <c r="C23" s="202">
        <v>1</v>
      </c>
      <c r="D23" s="202">
        <v>1</v>
      </c>
      <c r="E23" s="202">
        <v>1</v>
      </c>
      <c r="F23" s="202">
        <v>1</v>
      </c>
    </row>
    <row r="24" spans="2:6" s="18" customFormat="1" x14ac:dyDescent="0.4">
      <c r="B24" s="62" t="s">
        <v>1041</v>
      </c>
      <c r="C24" s="202" t="e">
        <f>C22/'1. Program Information'!$D13</f>
        <v>#DIV/0!</v>
      </c>
      <c r="D24" s="202" t="e">
        <f>D22/'1. Program Information'!$D13</f>
        <v>#DIV/0!</v>
      </c>
      <c r="E24" s="202" t="e">
        <f>E22/'1. Program Information'!$D13</f>
        <v>#DIV/0!</v>
      </c>
      <c r="F24" s="202" t="e">
        <f>F22/'1. Program Information'!$D13</f>
        <v>#DIV/0!</v>
      </c>
    </row>
    <row r="25" spans="2:6" s="18" customFormat="1" x14ac:dyDescent="0.4">
      <c r="B25" s="62"/>
      <c r="C25" s="202"/>
      <c r="D25" s="202"/>
      <c r="E25" s="202"/>
      <c r="F25" s="202"/>
    </row>
    <row r="26" spans="2:6" s="18" customFormat="1" x14ac:dyDescent="0.4">
      <c r="B26" s="62" t="s">
        <v>55</v>
      </c>
      <c r="C26" s="202">
        <f>IF(C$17=0,0,C22/C$17)</f>
        <v>0</v>
      </c>
      <c r="D26" s="202">
        <f>IF(D17=0,0,D22/D17)</f>
        <v>0</v>
      </c>
      <c r="E26" s="202">
        <f t="shared" ref="E26:F26" si="7">IF(E17=0,0,E22/E17)</f>
        <v>0</v>
      </c>
      <c r="F26" s="202">
        <f t="shared" si="7"/>
        <v>0</v>
      </c>
    </row>
    <row r="27" spans="2:6" s="18" customFormat="1" x14ac:dyDescent="0.4">
      <c r="B27" s="62" t="s">
        <v>994</v>
      </c>
      <c r="C27" s="202">
        <f>IF(C$22=0,0,ROUND(($C96/SUM($C$96:$C$97)*C$22),0))</f>
        <v>0</v>
      </c>
      <c r="D27" s="39">
        <f>IF(D$22=0,0,ROUND(($C96/SUM($C$96:$C$97)*D$22),0))</f>
        <v>0</v>
      </c>
      <c r="E27" s="202">
        <f>IF(E$22=0,0,ROUND(($C96/SUM($C$96:$C$97)*E$22),0))</f>
        <v>0</v>
      </c>
      <c r="F27" s="202">
        <f>IF(F$22=0,0,ROUND(($C96/SUM($C$96:$C$97)*F$22),0))</f>
        <v>0</v>
      </c>
    </row>
    <row r="28" spans="2:6" x14ac:dyDescent="0.4">
      <c r="B28" s="62" t="s">
        <v>995</v>
      </c>
      <c r="C28" s="202">
        <f>IF(C$22=0,0,ROUND((C97/SUM($C$96:$C$97)*C$22),0))</f>
        <v>0</v>
      </c>
      <c r="D28" s="202">
        <f>IF(D$22=0,0,ROUND(($C97/SUM($C$96:$C$97)*D$22),0))</f>
        <v>0</v>
      </c>
      <c r="E28" s="202">
        <f t="shared" ref="E28:F28" si="8">IF(E$22=0,0,ROUND(($C97/SUM($C$96:$C$97)*E$22),0))</f>
        <v>0</v>
      </c>
      <c r="F28" s="202">
        <f t="shared" si="8"/>
        <v>0</v>
      </c>
    </row>
    <row r="29" spans="2:6" x14ac:dyDescent="0.4">
      <c r="B29" s="62" t="s">
        <v>53</v>
      </c>
      <c r="C29" s="202">
        <f>C44</f>
        <v>0</v>
      </c>
      <c r="D29" s="202">
        <f t="shared" ref="D29:F29" si="9">D44</f>
        <v>0</v>
      </c>
      <c r="E29" s="202">
        <f t="shared" si="9"/>
        <v>0</v>
      </c>
      <c r="F29" s="202">
        <f t="shared" si="9"/>
        <v>0</v>
      </c>
    </row>
    <row r="30" spans="2:6" x14ac:dyDescent="0.4">
      <c r="B30" s="62" t="s">
        <v>51</v>
      </c>
      <c r="C30" s="202">
        <f>ROUND((($C$100+$C$108)*target_pop),0)</f>
        <v>0</v>
      </c>
      <c r="D30" s="202">
        <f>ROUND((($C$100+$C$108)*D$12),0)</f>
        <v>0</v>
      </c>
      <c r="E30" s="202">
        <f t="shared" ref="E30:F30" si="10">ROUND((($C$100+$C$108)*E$12),0)</f>
        <v>0</v>
      </c>
      <c r="F30" s="202">
        <f t="shared" si="10"/>
        <v>0</v>
      </c>
    </row>
    <row r="31" spans="2:6" x14ac:dyDescent="0.4">
      <c r="B31" s="62" t="s">
        <v>54</v>
      </c>
      <c r="C31" s="202">
        <f>ROUND((($C$101+$C$109)*target_pop),0)</f>
        <v>0</v>
      </c>
      <c r="D31" s="202">
        <f>ROUND((($C$101+$C$109)*D$12),0)</f>
        <v>0</v>
      </c>
      <c r="E31" s="202">
        <f t="shared" ref="E31:F31" si="11">ROUND((($C$101+$C$109)*E$12),0)</f>
        <v>0</v>
      </c>
      <c r="F31" s="202">
        <f t="shared" si="11"/>
        <v>0</v>
      </c>
    </row>
    <row r="32" spans="2:6" x14ac:dyDescent="0.4">
      <c r="B32" s="62" t="s">
        <v>996</v>
      </c>
      <c r="C32" s="202">
        <f>ROUND(((($C$102+$C$110)-($C$99+$C$107))*target_pop),0)</f>
        <v>0</v>
      </c>
      <c r="D32" s="202">
        <f t="shared" ref="D32:F32" si="12">ROUND(((($C$102+$C$110)-($C$99+$C$107))*D$12),0)</f>
        <v>0</v>
      </c>
      <c r="E32" s="202">
        <f t="shared" si="12"/>
        <v>0</v>
      </c>
      <c r="F32" s="202">
        <f t="shared" si="12"/>
        <v>0</v>
      </c>
    </row>
    <row r="33" spans="2:6" x14ac:dyDescent="0.4">
      <c r="B33" s="62" t="s">
        <v>997</v>
      </c>
      <c r="C33" s="202">
        <f>ROUND((($C$102+$C$110)*target_pop),0)</f>
        <v>0</v>
      </c>
      <c r="D33" s="202">
        <f t="shared" ref="D33:F33" si="13">ROUND((($C$102+$C$110)*D12),0)</f>
        <v>0</v>
      </c>
      <c r="E33" s="202">
        <f t="shared" si="13"/>
        <v>0</v>
      </c>
      <c r="F33" s="202">
        <f t="shared" si="13"/>
        <v>0</v>
      </c>
    </row>
    <row r="34" spans="2:6" x14ac:dyDescent="0.4">
      <c r="B34" s="62" t="s">
        <v>998</v>
      </c>
      <c r="C34" s="202">
        <f>ROUND((($C$102+$C$107+$C$103+$C$110)*target_pop),0)</f>
        <v>0</v>
      </c>
      <c r="D34" s="202">
        <f t="shared" ref="D34:F34" si="14">ROUND((($C$102+$C$107+$C$103+$C$110)*D$12),0)</f>
        <v>0</v>
      </c>
      <c r="E34" s="202">
        <f t="shared" si="14"/>
        <v>0</v>
      </c>
      <c r="F34" s="202">
        <f t="shared" si="14"/>
        <v>0</v>
      </c>
    </row>
    <row r="35" spans="2:6" x14ac:dyDescent="0.4">
      <c r="B35" s="62" t="s">
        <v>999</v>
      </c>
      <c r="C35" s="202">
        <f>ROUND((($C$103+$C$104+$C$111+$C$112)*0.5)*target_pop,0)</f>
        <v>0</v>
      </c>
      <c r="D35" s="202">
        <f t="shared" ref="D35:F35" si="15">ROUND((($C$103+$C$104+$C$111+$C$112)*0.5)*D$12,0)</f>
        <v>0</v>
      </c>
      <c r="E35" s="202">
        <f t="shared" si="15"/>
        <v>0</v>
      </c>
      <c r="F35" s="202">
        <f t="shared" si="15"/>
        <v>0</v>
      </c>
    </row>
    <row r="36" spans="2:6" x14ac:dyDescent="0.4">
      <c r="B36" s="62" t="s">
        <v>1000</v>
      </c>
      <c r="C36" s="202">
        <f>ROUND((($C$104+$C$112)*target_pop),0)</f>
        <v>0</v>
      </c>
      <c r="D36" s="202">
        <f t="shared" ref="D36:F36" si="16">ROUND((($C$104+$C$112)*D$12),0)</f>
        <v>0</v>
      </c>
      <c r="E36" s="202">
        <f t="shared" si="16"/>
        <v>0</v>
      </c>
      <c r="F36" s="202">
        <f t="shared" si="16"/>
        <v>0</v>
      </c>
    </row>
    <row r="37" spans="2:6" x14ac:dyDescent="0.4">
      <c r="B37" s="62" t="s">
        <v>52</v>
      </c>
      <c r="C37" s="202">
        <f>ROUND(((SUM($C$103:$C$106)+SUM($C$111:$C$114))*target_pop),0)</f>
        <v>0</v>
      </c>
      <c r="D37" s="202">
        <f t="shared" ref="D37:F37" si="17">ROUND(((SUM($C$103:$C$106)+SUM($C$111:$C$114))*D$12),0)</f>
        <v>0</v>
      </c>
      <c r="E37" s="202">
        <f t="shared" si="17"/>
        <v>0</v>
      </c>
      <c r="F37" s="202">
        <f t="shared" si="17"/>
        <v>0</v>
      </c>
    </row>
    <row r="38" spans="2:6" x14ac:dyDescent="0.4">
      <c r="B38" s="62" t="s">
        <v>1001</v>
      </c>
      <c r="C38" s="202">
        <f>ROUND(((SUM($C$104:$C$106)+SUM($C$112:$C$114))*target_pop),0)</f>
        <v>0</v>
      </c>
      <c r="D38" s="202">
        <f t="shared" ref="D38:F38" si="18">ROUND(((SUM($C$104:$C$106)+SUM($C$112:$C$114))*D$12),0)</f>
        <v>0</v>
      </c>
      <c r="E38" s="202">
        <f t="shared" si="18"/>
        <v>0</v>
      </c>
      <c r="F38" s="202">
        <f t="shared" si="18"/>
        <v>0</v>
      </c>
    </row>
    <row r="39" spans="2:6" x14ac:dyDescent="0.4">
      <c r="B39" s="62" t="s">
        <v>1002</v>
      </c>
      <c r="C39" s="202">
        <f>ROUND(((SUM($C$104:$C$106))*target_pop),0)</f>
        <v>0</v>
      </c>
      <c r="D39" s="202">
        <f t="shared" ref="D39:F39" si="19">ROUND(((SUM($C$104:$C$106))*D$12),0)</f>
        <v>0</v>
      </c>
      <c r="E39" s="202">
        <f t="shared" si="19"/>
        <v>0</v>
      </c>
      <c r="F39" s="202">
        <f t="shared" si="19"/>
        <v>0</v>
      </c>
    </row>
    <row r="40" spans="2:6" x14ac:dyDescent="0.4">
      <c r="B40" s="62" t="s">
        <v>1003</v>
      </c>
      <c r="C40" s="202">
        <f>ROUND(((SUM($C$112:$C$114))*target_pop),0)</f>
        <v>0</v>
      </c>
      <c r="D40" s="202">
        <f t="shared" ref="D40:F40" si="20">ROUND(((SUM($C$112:$C$114))*D$12),0)</f>
        <v>0</v>
      </c>
      <c r="E40" s="202">
        <f t="shared" si="20"/>
        <v>0</v>
      </c>
      <c r="F40" s="202">
        <f t="shared" si="20"/>
        <v>0</v>
      </c>
    </row>
    <row r="41" spans="2:6" x14ac:dyDescent="0.4">
      <c r="B41" s="62" t="s">
        <v>47</v>
      </c>
      <c r="C41" s="202">
        <f>ROUND(((SUM($C$112:$C$113))*target_pop),0)</f>
        <v>0</v>
      </c>
      <c r="D41" s="202">
        <f t="shared" ref="D41:F41" si="21">ROUND(((SUM($C$112:$C$113))*D$12),0)</f>
        <v>0</v>
      </c>
      <c r="E41" s="202">
        <f t="shared" si="21"/>
        <v>0</v>
      </c>
      <c r="F41" s="202">
        <f t="shared" si="21"/>
        <v>0</v>
      </c>
    </row>
    <row r="42" spans="2:6" x14ac:dyDescent="0.4">
      <c r="B42" s="62" t="s">
        <v>1004</v>
      </c>
      <c r="C42" s="202">
        <f>C41+C39</f>
        <v>0</v>
      </c>
      <c r="D42" s="202">
        <f>D41+D39</f>
        <v>0</v>
      </c>
      <c r="E42" s="202">
        <f t="shared" ref="E42:F42" si="22">E41+E39</f>
        <v>0</v>
      </c>
      <c r="F42" s="202">
        <f t="shared" si="22"/>
        <v>0</v>
      </c>
    </row>
    <row r="43" spans="2:6" x14ac:dyDescent="0.4">
      <c r="B43" s="62" t="s">
        <v>49</v>
      </c>
      <c r="C43" s="202">
        <f>ROUND((target_pop*(crude_birth_rate/1000))/(1-(maternal_mortality_rate/100000)),0)</f>
        <v>0</v>
      </c>
      <c r="D43" s="202">
        <f t="shared" ref="D43:F43" si="23">ROUND((D12*(D18/1000))/(1-(D19/100000)),0)</f>
        <v>0</v>
      </c>
      <c r="E43" s="202">
        <f t="shared" si="23"/>
        <v>0</v>
      </c>
      <c r="F43" s="202">
        <f t="shared" si="23"/>
        <v>0</v>
      </c>
    </row>
    <row r="44" spans="2:6" x14ac:dyDescent="0.4">
      <c r="B44" s="62" t="s">
        <v>48</v>
      </c>
      <c r="C44" s="202">
        <f>ROUND(target_pop*(crude_birth_rate/1000),0)</f>
        <v>0</v>
      </c>
      <c r="D44" s="202">
        <f t="shared" ref="D44:F44" si="24">ROUND(D12*(D18/1000),0)</f>
        <v>0</v>
      </c>
      <c r="E44" s="202">
        <f t="shared" si="24"/>
        <v>0</v>
      </c>
      <c r="F44" s="202">
        <f t="shared" si="24"/>
        <v>0</v>
      </c>
    </row>
    <row r="45" spans="2:6" ht="15" thickBot="1" x14ac:dyDescent="0.45">
      <c r="B45" s="70" t="s">
        <v>50</v>
      </c>
      <c r="C45" s="286">
        <f>ROUND((target_pop*(crude_birth_rate/1000))/(1-10/1000),0)</f>
        <v>0</v>
      </c>
      <c r="D45" s="286">
        <f t="shared" ref="D45:F45" si="25">ROUND((D12*(D18/1000))/(1-10/1000),0)</f>
        <v>0</v>
      </c>
      <c r="E45" s="286">
        <f t="shared" si="25"/>
        <v>0</v>
      </c>
      <c r="F45" s="286">
        <f t="shared" si="25"/>
        <v>0</v>
      </c>
    </row>
    <row r="46" spans="2:6" ht="15" thickBot="1" x14ac:dyDescent="0.45">
      <c r="B46" s="67"/>
      <c r="C46" s="202"/>
      <c r="D46" s="202"/>
      <c r="E46" s="202"/>
      <c r="F46" s="202"/>
    </row>
    <row r="47" spans="2:6" ht="15" thickBot="1" x14ac:dyDescent="0.45">
      <c r="B47" s="285" t="s">
        <v>1005</v>
      </c>
      <c r="C47" s="5">
        <f>baseline_year</f>
        <v>0</v>
      </c>
      <c r="D47" s="6">
        <f>baseline_year+1</f>
        <v>1</v>
      </c>
      <c r="E47" s="6">
        <f t="shared" ref="E47:F47" si="26">D47+1</f>
        <v>2</v>
      </c>
      <c r="F47" s="6">
        <f t="shared" si="26"/>
        <v>3</v>
      </c>
    </row>
    <row r="48" spans="2:6" x14ac:dyDescent="0.4">
      <c r="B48" s="62" t="s">
        <v>993</v>
      </c>
      <c r="C48" s="202">
        <f>C14</f>
        <v>0</v>
      </c>
      <c r="D48" s="202">
        <f>ROUND(D14,0)</f>
        <v>0</v>
      </c>
      <c r="E48" s="202">
        <f t="shared" ref="E48:F48" si="27">ROUND(E14,0)</f>
        <v>0</v>
      </c>
      <c r="F48" s="202">
        <f t="shared" si="27"/>
        <v>0</v>
      </c>
    </row>
    <row r="49" spans="2:6" x14ac:dyDescent="0.4">
      <c r="B49" s="62" t="e">
        <f>level6a</f>
        <v>#REF!</v>
      </c>
      <c r="C49" s="202" t="e">
        <f>VLOOKUP($B49,lookup_adminlevels,2,FALSE)</f>
        <v>#REF!</v>
      </c>
      <c r="D49" s="202" t="e">
        <f>VLOOKUP($B49,lookup_adminlevels,3,FALSE)</f>
        <v>#REF!</v>
      </c>
      <c r="E49" s="202" t="e">
        <f>VLOOKUP($B49,lookup_adminlevels,4,FALSE)</f>
        <v>#REF!</v>
      </c>
      <c r="F49" s="202" t="e">
        <f>VLOOKUP($B49,lookup_adminlevels,5,FALSE)</f>
        <v>#REF!</v>
      </c>
    </row>
    <row r="50" spans="2:6" x14ac:dyDescent="0.4">
      <c r="B50" s="62" t="s">
        <v>55</v>
      </c>
      <c r="C50" s="202">
        <f>IF(C$17=0,0,C48/C$17)</f>
        <v>0</v>
      </c>
      <c r="D50" s="202">
        <f t="shared" ref="D50:F50" si="28">IF(D$17=0,0,D48/D$17)</f>
        <v>0</v>
      </c>
      <c r="E50" s="202">
        <f t="shared" si="28"/>
        <v>0</v>
      </c>
      <c r="F50" s="202">
        <f t="shared" si="28"/>
        <v>0</v>
      </c>
    </row>
    <row r="51" spans="2:6" x14ac:dyDescent="0.4">
      <c r="B51" s="62" t="s">
        <v>994</v>
      </c>
      <c r="C51" s="202">
        <f>IF(C$48=0,0,ROUND(($C$96/SUM($C$96:$C$97)*C$48),0))</f>
        <v>0</v>
      </c>
      <c r="D51" s="39">
        <f>IF(D$48=0,0,ROUND(($C$96/SUM($C$96:$C$97)*D$48),0))</f>
        <v>0</v>
      </c>
      <c r="E51" s="202">
        <f t="shared" ref="E51:F51" si="29">IF(E$48=0,0,ROUND(($C$96/SUM($C$96:$C$97)*E$48),0))</f>
        <v>0</v>
      </c>
      <c r="F51" s="202">
        <f t="shared" si="29"/>
        <v>0</v>
      </c>
    </row>
    <row r="52" spans="2:6" x14ac:dyDescent="0.4">
      <c r="B52" s="62" t="s">
        <v>995</v>
      </c>
      <c r="C52" s="202">
        <f>IF(C$48=0,0,ROUND(($C$97/SUM($C$96:$C$97)*C$48),0))</f>
        <v>0</v>
      </c>
      <c r="D52" s="202">
        <f t="shared" ref="D52:F52" si="30">IF(D$48=0,0,ROUND(($C$97/SUM($C$96:$C$97)*D$48),0))</f>
        <v>0</v>
      </c>
      <c r="E52" s="202">
        <f t="shared" si="30"/>
        <v>0</v>
      </c>
      <c r="F52" s="202">
        <f t="shared" si="30"/>
        <v>0</v>
      </c>
    </row>
    <row r="53" spans="2:6" x14ac:dyDescent="0.4">
      <c r="B53" s="62" t="s">
        <v>53</v>
      </c>
      <c r="C53" s="202">
        <f>C68</f>
        <v>0</v>
      </c>
      <c r="D53" s="202">
        <f t="shared" ref="D53:F53" si="31">D68</f>
        <v>0</v>
      </c>
      <c r="E53" s="202">
        <f t="shared" si="31"/>
        <v>0</v>
      </c>
      <c r="F53" s="202">
        <f t="shared" si="31"/>
        <v>0</v>
      </c>
    </row>
    <row r="54" spans="2:6" x14ac:dyDescent="0.4">
      <c r="B54" s="62" t="s">
        <v>51</v>
      </c>
      <c r="C54" s="202">
        <f>ROUND((($C$100+$C$108)*C48),0)</f>
        <v>0</v>
      </c>
      <c r="D54" s="202">
        <f>ROUND((($C$100+$C$108)*D$48),0)</f>
        <v>0</v>
      </c>
      <c r="E54" s="202">
        <f t="shared" ref="E54:F54" si="32">ROUND((($C$100+$C$108)*E$48),0)</f>
        <v>0</v>
      </c>
      <c r="F54" s="202">
        <f t="shared" si="32"/>
        <v>0</v>
      </c>
    </row>
    <row r="55" spans="2:6" x14ac:dyDescent="0.4">
      <c r="B55" s="62" t="s">
        <v>1006</v>
      </c>
      <c r="C55" s="202">
        <f>ROUND((($C$101+$C$109)*C48),0)</f>
        <v>0</v>
      </c>
      <c r="D55" s="202">
        <f t="shared" ref="D55:F55" si="33">ROUND((($C$101+$C$109)*D48),0)</f>
        <v>0</v>
      </c>
      <c r="E55" s="202">
        <f t="shared" si="33"/>
        <v>0</v>
      </c>
      <c r="F55" s="202">
        <f t="shared" si="33"/>
        <v>0</v>
      </c>
    </row>
    <row r="56" spans="2:6" x14ac:dyDescent="0.4">
      <c r="B56" s="62" t="s">
        <v>996</v>
      </c>
      <c r="C56" s="202">
        <f t="shared" ref="C56:F56" si="34">ROUND(((($C$102+$C$110)-($C$99+$C$107))*C48),0)</f>
        <v>0</v>
      </c>
      <c r="D56" s="202">
        <f t="shared" si="34"/>
        <v>0</v>
      </c>
      <c r="E56" s="202">
        <f t="shared" si="34"/>
        <v>0</v>
      </c>
      <c r="F56" s="202">
        <f t="shared" si="34"/>
        <v>0</v>
      </c>
    </row>
    <row r="57" spans="2:6" x14ac:dyDescent="0.4">
      <c r="B57" s="62" t="s">
        <v>997</v>
      </c>
      <c r="C57" s="202">
        <f t="shared" ref="C57:F57" si="35">ROUND((($C$102+$C$110)*C48),0)</f>
        <v>0</v>
      </c>
      <c r="D57" s="202">
        <f t="shared" si="35"/>
        <v>0</v>
      </c>
      <c r="E57" s="202">
        <f t="shared" si="35"/>
        <v>0</v>
      </c>
      <c r="F57" s="202">
        <f t="shared" si="35"/>
        <v>0</v>
      </c>
    </row>
    <row r="58" spans="2:6" x14ac:dyDescent="0.4">
      <c r="B58" s="62" t="s">
        <v>998</v>
      </c>
      <c r="C58" s="202">
        <f t="shared" ref="C58:F58" si="36">ROUND((($C$102+$C$107+$C$103+$C$110)*C48),0)</f>
        <v>0</v>
      </c>
      <c r="D58" s="202">
        <f t="shared" si="36"/>
        <v>0</v>
      </c>
      <c r="E58" s="202">
        <f t="shared" si="36"/>
        <v>0</v>
      </c>
      <c r="F58" s="202">
        <f t="shared" si="36"/>
        <v>0</v>
      </c>
    </row>
    <row r="59" spans="2:6" x14ac:dyDescent="0.4">
      <c r="B59" s="62" t="s">
        <v>999</v>
      </c>
      <c r="C59" s="202">
        <f t="shared" ref="C59:F59" si="37">ROUND((($C$103+$C$104+$C$111+$C$112)*0.5)*C48,0)</f>
        <v>0</v>
      </c>
      <c r="D59" s="202">
        <f t="shared" si="37"/>
        <v>0</v>
      </c>
      <c r="E59" s="202">
        <f t="shared" si="37"/>
        <v>0</v>
      </c>
      <c r="F59" s="202">
        <f t="shared" si="37"/>
        <v>0</v>
      </c>
    </row>
    <row r="60" spans="2:6" x14ac:dyDescent="0.4">
      <c r="B60" s="62" t="s">
        <v>1000</v>
      </c>
      <c r="C60" s="202">
        <f t="shared" ref="C60:F60" si="38">ROUND((($C$104+$C$112)*C48),0)</f>
        <v>0</v>
      </c>
      <c r="D60" s="202">
        <f t="shared" si="38"/>
        <v>0</v>
      </c>
      <c r="E60" s="202">
        <f t="shared" si="38"/>
        <v>0</v>
      </c>
      <c r="F60" s="202">
        <f t="shared" si="38"/>
        <v>0</v>
      </c>
    </row>
    <row r="61" spans="2:6" x14ac:dyDescent="0.4">
      <c r="B61" s="62" t="s">
        <v>52</v>
      </c>
      <c r="C61" s="202">
        <f t="shared" ref="C61:F61" si="39">ROUND(((SUM($C$103:$C$106)+SUM($C$111:$C$114))*C48),0)</f>
        <v>0</v>
      </c>
      <c r="D61" s="202">
        <f t="shared" si="39"/>
        <v>0</v>
      </c>
      <c r="E61" s="202">
        <f t="shared" si="39"/>
        <v>0</v>
      </c>
      <c r="F61" s="202">
        <f t="shared" si="39"/>
        <v>0</v>
      </c>
    </row>
    <row r="62" spans="2:6" x14ac:dyDescent="0.4">
      <c r="B62" s="62" t="s">
        <v>1001</v>
      </c>
      <c r="C62" s="202">
        <f t="shared" ref="C62:F62" si="40">ROUND(((SUM($C$104:$C$106)+SUM($C$112:$C$114))*C48),0)</f>
        <v>0</v>
      </c>
      <c r="D62" s="202">
        <f t="shared" si="40"/>
        <v>0</v>
      </c>
      <c r="E62" s="202">
        <f t="shared" si="40"/>
        <v>0</v>
      </c>
      <c r="F62" s="202">
        <f t="shared" si="40"/>
        <v>0</v>
      </c>
    </row>
    <row r="63" spans="2:6" x14ac:dyDescent="0.4">
      <c r="B63" s="62" t="s">
        <v>1002</v>
      </c>
      <c r="C63" s="202">
        <f t="shared" ref="C63:F63" si="41">ROUND(((SUM($C$104:$C$106))*C48),0)</f>
        <v>0</v>
      </c>
      <c r="D63" s="202">
        <f t="shared" si="41"/>
        <v>0</v>
      </c>
      <c r="E63" s="202">
        <f t="shared" si="41"/>
        <v>0</v>
      </c>
      <c r="F63" s="202">
        <f t="shared" si="41"/>
        <v>0</v>
      </c>
    </row>
    <row r="64" spans="2:6" x14ac:dyDescent="0.4">
      <c r="B64" s="62" t="s">
        <v>1003</v>
      </c>
      <c r="C64" s="202">
        <f t="shared" ref="C64:F64" si="42">ROUND(((SUM($C$112:$C$114))*C48),0)</f>
        <v>0</v>
      </c>
      <c r="D64" s="202">
        <f t="shared" si="42"/>
        <v>0</v>
      </c>
      <c r="E64" s="202">
        <f t="shared" si="42"/>
        <v>0</v>
      </c>
      <c r="F64" s="202">
        <f t="shared" si="42"/>
        <v>0</v>
      </c>
    </row>
    <row r="65" spans="2:6" x14ac:dyDescent="0.4">
      <c r="B65" s="62" t="s">
        <v>47</v>
      </c>
      <c r="C65" s="202">
        <f t="shared" ref="C65:F65" si="43">ROUND(((SUM($C$112:$C$113))*C48),0)</f>
        <v>0</v>
      </c>
      <c r="D65" s="202">
        <f t="shared" si="43"/>
        <v>0</v>
      </c>
      <c r="E65" s="202">
        <f t="shared" si="43"/>
        <v>0</v>
      </c>
      <c r="F65" s="202">
        <f t="shared" si="43"/>
        <v>0</v>
      </c>
    </row>
    <row r="66" spans="2:6" x14ac:dyDescent="0.4">
      <c r="B66" s="62" t="s">
        <v>1004</v>
      </c>
      <c r="C66" s="202">
        <f>C65+C63</f>
        <v>0</v>
      </c>
      <c r="D66" s="202">
        <f t="shared" ref="D66:F66" si="44">D65+D63</f>
        <v>0</v>
      </c>
      <c r="E66" s="202">
        <f t="shared" si="44"/>
        <v>0</v>
      </c>
      <c r="F66" s="202">
        <f t="shared" si="44"/>
        <v>0</v>
      </c>
    </row>
    <row r="67" spans="2:6" x14ac:dyDescent="0.4">
      <c r="B67" s="62" t="s">
        <v>49</v>
      </c>
      <c r="C67" s="202">
        <f t="shared" ref="C67:F67" si="45">ROUND((C48*(crude_birth_rate/1000))/(1-(maternal_mortality_rate/100000)),0)</f>
        <v>0</v>
      </c>
      <c r="D67" s="202">
        <f t="shared" si="45"/>
        <v>0</v>
      </c>
      <c r="E67" s="202">
        <f t="shared" si="45"/>
        <v>0</v>
      </c>
      <c r="F67" s="202">
        <f t="shared" si="45"/>
        <v>0</v>
      </c>
    </row>
    <row r="68" spans="2:6" x14ac:dyDescent="0.4">
      <c r="B68" s="62" t="s">
        <v>48</v>
      </c>
      <c r="C68" s="202">
        <f t="shared" ref="C68:F68" si="46">ROUND(C48*(crude_birth_rate/1000),0)</f>
        <v>0</v>
      </c>
      <c r="D68" s="202">
        <f t="shared" si="46"/>
        <v>0</v>
      </c>
      <c r="E68" s="202">
        <f t="shared" si="46"/>
        <v>0</v>
      </c>
      <c r="F68" s="202">
        <f t="shared" si="46"/>
        <v>0</v>
      </c>
    </row>
    <row r="69" spans="2:6" ht="15" thickBot="1" x14ac:dyDescent="0.45">
      <c r="B69" s="70" t="s">
        <v>50</v>
      </c>
      <c r="C69" s="286">
        <f t="shared" ref="C69:F69" si="47">ROUND((C48*(crude_birth_rate/1000))/(1-10/1000),0)</f>
        <v>0</v>
      </c>
      <c r="D69" s="286">
        <f t="shared" si="47"/>
        <v>0</v>
      </c>
      <c r="E69" s="286">
        <f t="shared" si="47"/>
        <v>0</v>
      </c>
      <c r="F69" s="286">
        <f t="shared" si="47"/>
        <v>0</v>
      </c>
    </row>
    <row r="70" spans="2:6" ht="15" thickBot="1" x14ac:dyDescent="0.45">
      <c r="B70" s="287"/>
      <c r="C70" s="202"/>
      <c r="D70" s="202"/>
      <c r="E70" s="202"/>
      <c r="F70" s="202"/>
    </row>
    <row r="71" spans="2:6" ht="15" thickBot="1" x14ac:dyDescent="0.45">
      <c r="B71" s="285" t="s">
        <v>1007</v>
      </c>
      <c r="C71" s="5">
        <f>baseline_year</f>
        <v>0</v>
      </c>
      <c r="D71" s="6">
        <f>baseline_year+1</f>
        <v>1</v>
      </c>
      <c r="E71" s="6">
        <f t="shared" ref="E71:F71" si="48">D71+1</f>
        <v>2</v>
      </c>
      <c r="F71" s="6">
        <f t="shared" si="48"/>
        <v>3</v>
      </c>
    </row>
    <row r="72" spans="2:6" x14ac:dyDescent="0.4">
      <c r="B72" s="62" t="s">
        <v>993</v>
      </c>
      <c r="C72" s="202">
        <f>C16</f>
        <v>0</v>
      </c>
      <c r="D72" s="202">
        <f>ROUND(D16,0)</f>
        <v>0</v>
      </c>
      <c r="E72" s="202">
        <f t="shared" ref="E72:F72" si="49">ROUND(E16,0)</f>
        <v>0</v>
      </c>
      <c r="F72" s="202">
        <f t="shared" si="49"/>
        <v>0</v>
      </c>
    </row>
    <row r="73" spans="2:6" x14ac:dyDescent="0.4">
      <c r="B73" s="62" t="e">
        <f>level6b</f>
        <v>#REF!</v>
      </c>
      <c r="C73" s="202" t="e">
        <f>VLOOKUP($B73,lookup_adminlevels,2,FALSE)</f>
        <v>#REF!</v>
      </c>
      <c r="D73" s="202" t="e">
        <f>VLOOKUP($B73,lookup_adminlevels,3,FALSE)</f>
        <v>#REF!</v>
      </c>
      <c r="E73" s="202" t="e">
        <f>VLOOKUP($B73,lookup_adminlevels,4,FALSE)</f>
        <v>#REF!</v>
      </c>
      <c r="F73" s="202" t="e">
        <f>VLOOKUP($B73,lookup_adminlevels,5,FALSE)</f>
        <v>#REF!</v>
      </c>
    </row>
    <row r="74" spans="2:6" x14ac:dyDescent="0.4">
      <c r="B74" s="62" t="s">
        <v>55</v>
      </c>
      <c r="C74" s="202">
        <f>IF(C$17=0,0,C72/C$17)</f>
        <v>0</v>
      </c>
      <c r="D74" s="202">
        <f t="shared" ref="D74:F74" si="50">IF(D$17=0,0,D72/D$17)</f>
        <v>0</v>
      </c>
      <c r="E74" s="202">
        <f t="shared" si="50"/>
        <v>0</v>
      </c>
      <c r="F74" s="202">
        <f t="shared" si="50"/>
        <v>0</v>
      </c>
    </row>
    <row r="75" spans="2:6" x14ac:dyDescent="0.4">
      <c r="B75" s="62" t="s">
        <v>994</v>
      </c>
      <c r="C75" s="202">
        <f>IF(C$72=0,0,ROUND(($C$96/SUM($C$96:$C$97)*C$72),0))</f>
        <v>0</v>
      </c>
      <c r="D75" s="39">
        <f t="shared" ref="D75:F75" si="51">IF(D$72=0,0,ROUND(($C$96/SUM($C$96:$C$97)*D$72),0))</f>
        <v>0</v>
      </c>
      <c r="E75" s="202">
        <f t="shared" si="51"/>
        <v>0</v>
      </c>
      <c r="F75" s="202">
        <f t="shared" si="51"/>
        <v>0</v>
      </c>
    </row>
    <row r="76" spans="2:6" x14ac:dyDescent="0.4">
      <c r="B76" s="62" t="s">
        <v>995</v>
      </c>
      <c r="C76" s="202">
        <f>IF(C$72=0,0,ROUND(($C$97/SUM($C$96:$C$97)*C$72),0))</f>
        <v>0</v>
      </c>
      <c r="D76" s="202">
        <f t="shared" ref="D76:F76" si="52">IF(D$72=0,0,ROUND(($C$97/SUM($C$96:$C$97)*D$72),0))</f>
        <v>0</v>
      </c>
      <c r="E76" s="202">
        <f t="shared" si="52"/>
        <v>0</v>
      </c>
      <c r="F76" s="202">
        <f t="shared" si="52"/>
        <v>0</v>
      </c>
    </row>
    <row r="77" spans="2:6" x14ac:dyDescent="0.4">
      <c r="B77" s="62" t="s">
        <v>53</v>
      </c>
      <c r="C77" s="202">
        <f>C92</f>
        <v>0</v>
      </c>
      <c r="D77" s="202">
        <f t="shared" ref="D77:F77" si="53">D92</f>
        <v>0</v>
      </c>
      <c r="E77" s="202">
        <f t="shared" si="53"/>
        <v>0</v>
      </c>
      <c r="F77" s="202">
        <f t="shared" si="53"/>
        <v>0</v>
      </c>
    </row>
    <row r="78" spans="2:6" x14ac:dyDescent="0.4">
      <c r="B78" s="62" t="s">
        <v>51</v>
      </c>
      <c r="C78" s="202">
        <f>ROUND((($C$100+$C$108)*C72),0)</f>
        <v>0</v>
      </c>
      <c r="D78" s="202">
        <f>ROUND((($C$100+$C$108)*D72),0)</f>
        <v>0</v>
      </c>
      <c r="E78" s="202">
        <f t="shared" ref="E78:F78" si="54">ROUND((($C$100+$C$108)*E72),0)</f>
        <v>0</v>
      </c>
      <c r="F78" s="202">
        <f t="shared" si="54"/>
        <v>0</v>
      </c>
    </row>
    <row r="79" spans="2:6" x14ac:dyDescent="0.4">
      <c r="B79" s="62" t="s">
        <v>54</v>
      </c>
      <c r="C79" s="202">
        <f>ROUND((($C$101+$C$109)*C72),0)</f>
        <v>0</v>
      </c>
      <c r="D79" s="202">
        <f t="shared" ref="D79:F79" si="55">ROUND((($C$101+$C$109)*D72),0)</f>
        <v>0</v>
      </c>
      <c r="E79" s="202">
        <f t="shared" si="55"/>
        <v>0</v>
      </c>
      <c r="F79" s="202">
        <f t="shared" si="55"/>
        <v>0</v>
      </c>
    </row>
    <row r="80" spans="2:6" x14ac:dyDescent="0.4">
      <c r="B80" s="62" t="s">
        <v>996</v>
      </c>
      <c r="C80" s="202">
        <f t="shared" ref="C80:F80" si="56">ROUND(((($C$102+$C$110)-($C$99+$C$107))*C72),0)</f>
        <v>0</v>
      </c>
      <c r="D80" s="202">
        <f t="shared" si="56"/>
        <v>0</v>
      </c>
      <c r="E80" s="202">
        <f t="shared" si="56"/>
        <v>0</v>
      </c>
      <c r="F80" s="202">
        <f t="shared" si="56"/>
        <v>0</v>
      </c>
    </row>
    <row r="81" spans="2:6" x14ac:dyDescent="0.4">
      <c r="B81" s="62" t="s">
        <v>997</v>
      </c>
      <c r="C81" s="202">
        <f t="shared" ref="C81:F81" si="57">ROUND((($C$102+$C$110)*C72),0)</f>
        <v>0</v>
      </c>
      <c r="D81" s="202">
        <f t="shared" si="57"/>
        <v>0</v>
      </c>
      <c r="E81" s="202">
        <f t="shared" si="57"/>
        <v>0</v>
      </c>
      <c r="F81" s="202">
        <f t="shared" si="57"/>
        <v>0</v>
      </c>
    </row>
    <row r="82" spans="2:6" x14ac:dyDescent="0.4">
      <c r="B82" s="62" t="s">
        <v>998</v>
      </c>
      <c r="C82" s="202">
        <f t="shared" ref="C82:F82" si="58">ROUND((($C$102+$C$107+$C$103+$C$110)*C72),0)</f>
        <v>0</v>
      </c>
      <c r="D82" s="202">
        <f t="shared" si="58"/>
        <v>0</v>
      </c>
      <c r="E82" s="202">
        <f t="shared" si="58"/>
        <v>0</v>
      </c>
      <c r="F82" s="202">
        <f t="shared" si="58"/>
        <v>0</v>
      </c>
    </row>
    <row r="83" spans="2:6" x14ac:dyDescent="0.4">
      <c r="B83" s="62" t="s">
        <v>999</v>
      </c>
      <c r="C83" s="202">
        <f t="shared" ref="C83:F83" si="59">ROUND((($C$103+$C$104+$C$111+$C$112)*0.5)*C72,0)</f>
        <v>0</v>
      </c>
      <c r="D83" s="202">
        <f t="shared" si="59"/>
        <v>0</v>
      </c>
      <c r="E83" s="202">
        <f t="shared" si="59"/>
        <v>0</v>
      </c>
      <c r="F83" s="202">
        <f t="shared" si="59"/>
        <v>0</v>
      </c>
    </row>
    <row r="84" spans="2:6" x14ac:dyDescent="0.4">
      <c r="B84" s="62" t="s">
        <v>1000</v>
      </c>
      <c r="C84" s="202">
        <f t="shared" ref="C84:F84" si="60">ROUND((($C$104+$C$112)*C72),0)</f>
        <v>0</v>
      </c>
      <c r="D84" s="202">
        <f t="shared" si="60"/>
        <v>0</v>
      </c>
      <c r="E84" s="202">
        <f t="shared" si="60"/>
        <v>0</v>
      </c>
      <c r="F84" s="202">
        <f t="shared" si="60"/>
        <v>0</v>
      </c>
    </row>
    <row r="85" spans="2:6" x14ac:dyDescent="0.4">
      <c r="B85" s="62" t="s">
        <v>52</v>
      </c>
      <c r="C85" s="202">
        <f t="shared" ref="C85:F85" si="61">ROUND(((SUM($C$103:$C$106)+SUM($C$111:$C$114))*C72),0)</f>
        <v>0</v>
      </c>
      <c r="D85" s="202">
        <f t="shared" si="61"/>
        <v>0</v>
      </c>
      <c r="E85" s="202">
        <f t="shared" si="61"/>
        <v>0</v>
      </c>
      <c r="F85" s="202">
        <f t="shared" si="61"/>
        <v>0</v>
      </c>
    </row>
    <row r="86" spans="2:6" x14ac:dyDescent="0.4">
      <c r="B86" s="62" t="s">
        <v>1001</v>
      </c>
      <c r="C86" s="202">
        <f t="shared" ref="C86:F86" si="62">ROUND(((SUM($C$104:$C$106)+SUM($C$112:$C$114))*C72),0)</f>
        <v>0</v>
      </c>
      <c r="D86" s="202">
        <f t="shared" si="62"/>
        <v>0</v>
      </c>
      <c r="E86" s="202">
        <f t="shared" si="62"/>
        <v>0</v>
      </c>
      <c r="F86" s="202">
        <f t="shared" si="62"/>
        <v>0</v>
      </c>
    </row>
    <row r="87" spans="2:6" x14ac:dyDescent="0.4">
      <c r="B87" s="62" t="s">
        <v>1002</v>
      </c>
      <c r="C87" s="202">
        <f t="shared" ref="C87:F87" si="63">ROUND(((SUM($C$104:$C$106))*C72),0)</f>
        <v>0</v>
      </c>
      <c r="D87" s="202">
        <f t="shared" si="63"/>
        <v>0</v>
      </c>
      <c r="E87" s="202">
        <f t="shared" si="63"/>
        <v>0</v>
      </c>
      <c r="F87" s="202">
        <f t="shared" si="63"/>
        <v>0</v>
      </c>
    </row>
    <row r="88" spans="2:6" x14ac:dyDescent="0.4">
      <c r="B88" s="62" t="s">
        <v>1003</v>
      </c>
      <c r="C88" s="202">
        <f t="shared" ref="C88:F88" si="64">ROUND(((SUM($C$112:$C$114))*C72),0)</f>
        <v>0</v>
      </c>
      <c r="D88" s="202">
        <f t="shared" si="64"/>
        <v>0</v>
      </c>
      <c r="E88" s="202">
        <f t="shared" si="64"/>
        <v>0</v>
      </c>
      <c r="F88" s="202">
        <f t="shared" si="64"/>
        <v>0</v>
      </c>
    </row>
    <row r="89" spans="2:6" x14ac:dyDescent="0.4">
      <c r="B89" s="62" t="s">
        <v>47</v>
      </c>
      <c r="C89" s="202">
        <f t="shared" ref="C89:F89" si="65">ROUND(((SUM($C$112:$C$113))*C72),0)</f>
        <v>0</v>
      </c>
      <c r="D89" s="202">
        <f t="shared" si="65"/>
        <v>0</v>
      </c>
      <c r="E89" s="202">
        <f t="shared" si="65"/>
        <v>0</v>
      </c>
      <c r="F89" s="202">
        <f t="shared" si="65"/>
        <v>0</v>
      </c>
    </row>
    <row r="90" spans="2:6" x14ac:dyDescent="0.4">
      <c r="B90" s="62" t="s">
        <v>1004</v>
      </c>
      <c r="C90" s="202">
        <f t="shared" ref="C90:F90" si="66">C89+C87</f>
        <v>0</v>
      </c>
      <c r="D90" s="202">
        <f t="shared" si="66"/>
        <v>0</v>
      </c>
      <c r="E90" s="202">
        <f t="shared" si="66"/>
        <v>0</v>
      </c>
      <c r="F90" s="202">
        <f t="shared" si="66"/>
        <v>0</v>
      </c>
    </row>
    <row r="91" spans="2:6" x14ac:dyDescent="0.4">
      <c r="B91" s="62" t="s">
        <v>49</v>
      </c>
      <c r="C91" s="202">
        <f t="shared" ref="C91:F91" si="67">ROUND((C72*(crude_birth_rate/1000))/(1-(maternal_mortality_rate/100000)),0)</f>
        <v>0</v>
      </c>
      <c r="D91" s="202">
        <f t="shared" si="67"/>
        <v>0</v>
      </c>
      <c r="E91" s="202">
        <f t="shared" si="67"/>
        <v>0</v>
      </c>
      <c r="F91" s="202">
        <f t="shared" si="67"/>
        <v>0</v>
      </c>
    </row>
    <row r="92" spans="2:6" x14ac:dyDescent="0.4">
      <c r="B92" s="62" t="s">
        <v>48</v>
      </c>
      <c r="C92" s="202">
        <f t="shared" ref="C92:F92" si="68">ROUND(C72*(crude_birth_rate/1000),0)</f>
        <v>0</v>
      </c>
      <c r="D92" s="202">
        <f t="shared" si="68"/>
        <v>0</v>
      </c>
      <c r="E92" s="202">
        <f t="shared" si="68"/>
        <v>0</v>
      </c>
      <c r="F92" s="202">
        <f t="shared" si="68"/>
        <v>0</v>
      </c>
    </row>
    <row r="93" spans="2:6" ht="15" thickBot="1" x14ac:dyDescent="0.45">
      <c r="B93" s="70" t="s">
        <v>50</v>
      </c>
      <c r="C93" s="286">
        <f t="shared" ref="C93:F93" si="69">ROUND((C72*(crude_birth_rate/1000))/(1-10/1000),0)</f>
        <v>0</v>
      </c>
      <c r="D93" s="286">
        <f t="shared" si="69"/>
        <v>0</v>
      </c>
      <c r="E93" s="286">
        <f t="shared" si="69"/>
        <v>0</v>
      </c>
      <c r="F93" s="286">
        <f t="shared" si="69"/>
        <v>0</v>
      </c>
    </row>
    <row r="94" spans="2:6" ht="15" thickBot="1" x14ac:dyDescent="0.45"/>
    <row r="95" spans="2:6" x14ac:dyDescent="0.4">
      <c r="B95" s="288" t="s">
        <v>1008</v>
      </c>
      <c r="C95" s="289"/>
      <c r="D95" s="50"/>
      <c r="E95" s="50"/>
      <c r="F95" s="50"/>
    </row>
    <row r="96" spans="2:6" x14ac:dyDescent="0.4">
      <c r="B96" s="62" t="s">
        <v>153</v>
      </c>
      <c r="C96" s="290">
        <f>IF(selected_country="",0,(INDEX(country_database,MATCH(selected_country,country_list,0),MATCH(B96,database_indicators,0))))</f>
        <v>0</v>
      </c>
      <c r="D96" s="18"/>
      <c r="E96" s="18"/>
      <c r="F96" s="18"/>
    </row>
    <row r="97" spans="2:6" x14ac:dyDescent="0.4">
      <c r="B97" s="62" t="s">
        <v>154</v>
      </c>
      <c r="C97" s="290">
        <f>IF(selected_country="",0,(INDEX(country_database,MATCH(selected_country,country_list,0),MATCH(B97,database_indicators,0))))</f>
        <v>0</v>
      </c>
      <c r="D97" s="18"/>
      <c r="E97" s="291"/>
      <c r="F97" s="291"/>
    </row>
    <row r="98" spans="2:6" x14ac:dyDescent="0.4">
      <c r="B98" s="62"/>
      <c r="C98" s="292"/>
      <c r="D98" s="18"/>
      <c r="E98" s="293"/>
      <c r="F98" s="291"/>
    </row>
    <row r="99" spans="2:6" x14ac:dyDescent="0.4">
      <c r="B99" s="62" t="s">
        <v>155</v>
      </c>
      <c r="C99" s="294">
        <f t="shared" ref="C99:C106" si="70">IF(selected_country="",0,((((INDEX(country_database,MATCH(selected_country,country_list,0),MATCH(B99,database_indicators,0))))/100)*$C$96)/SUM($C$96:$C$97))</f>
        <v>0</v>
      </c>
      <c r="D99" s="295"/>
      <c r="E99" s="296"/>
      <c r="F99" s="296"/>
    </row>
    <row r="100" spans="2:6" x14ac:dyDescent="0.4">
      <c r="B100" s="62" t="s">
        <v>1009</v>
      </c>
      <c r="C100" s="294">
        <f>C102*(58/60)</f>
        <v>0</v>
      </c>
      <c r="D100" s="295"/>
      <c r="E100" s="296"/>
      <c r="F100" s="296"/>
    </row>
    <row r="101" spans="2:6" x14ac:dyDescent="0.4">
      <c r="B101" s="62" t="s">
        <v>1010</v>
      </c>
      <c r="C101" s="294">
        <f>C102*(54/60)</f>
        <v>0</v>
      </c>
      <c r="D101" s="295"/>
      <c r="E101" s="296"/>
      <c r="F101" s="296"/>
    </row>
    <row r="102" spans="2:6" x14ac:dyDescent="0.4">
      <c r="B102" s="62" t="s">
        <v>156</v>
      </c>
      <c r="C102" s="294">
        <f t="shared" si="70"/>
        <v>0</v>
      </c>
      <c r="D102" s="295"/>
      <c r="E102" s="297"/>
      <c r="F102" s="296"/>
    </row>
    <row r="103" spans="2:6" x14ac:dyDescent="0.4">
      <c r="B103" s="62" t="s">
        <v>160</v>
      </c>
      <c r="C103" s="294">
        <f t="shared" si="70"/>
        <v>0</v>
      </c>
      <c r="D103" s="295"/>
      <c r="E103" s="297"/>
      <c r="F103" s="296"/>
    </row>
    <row r="104" spans="2:6" x14ac:dyDescent="0.4">
      <c r="B104" s="62" t="s">
        <v>162</v>
      </c>
      <c r="C104" s="294">
        <f t="shared" si="70"/>
        <v>0</v>
      </c>
      <c r="D104" s="295"/>
      <c r="E104" s="297"/>
      <c r="F104" s="296"/>
    </row>
    <row r="105" spans="2:6" x14ac:dyDescent="0.4">
      <c r="B105" s="62" t="s">
        <v>166</v>
      </c>
      <c r="C105" s="294">
        <f t="shared" si="70"/>
        <v>0</v>
      </c>
      <c r="D105" s="295"/>
      <c r="E105" s="297"/>
      <c r="F105" s="296"/>
    </row>
    <row r="106" spans="2:6" x14ac:dyDescent="0.4">
      <c r="B106" s="62" t="s">
        <v>169</v>
      </c>
      <c r="C106" s="294">
        <f t="shared" si="70"/>
        <v>0</v>
      </c>
      <c r="D106" s="295"/>
      <c r="E106" s="297"/>
      <c r="F106" s="296"/>
    </row>
    <row r="107" spans="2:6" x14ac:dyDescent="0.4">
      <c r="B107" s="62" t="s">
        <v>171</v>
      </c>
      <c r="C107" s="294">
        <f t="shared" ref="C107:C114" si="71">IF(selected_country="",0,((((INDEX(country_database,MATCH(selected_country,country_list,0),MATCH(B107,database_indicators,0))))/100)*$C$97)/SUM($C$96:$C$97))</f>
        <v>0</v>
      </c>
      <c r="D107" s="295"/>
      <c r="E107" s="297"/>
      <c r="F107" s="296"/>
    </row>
    <row r="108" spans="2:6" x14ac:dyDescent="0.4">
      <c r="B108" s="62" t="s">
        <v>1011</v>
      </c>
      <c r="C108" s="294">
        <f>C110*(58/60)</f>
        <v>0</v>
      </c>
      <c r="D108" s="295"/>
      <c r="E108" s="297"/>
      <c r="F108" s="296"/>
    </row>
    <row r="109" spans="2:6" x14ac:dyDescent="0.4">
      <c r="B109" s="62" t="s">
        <v>1012</v>
      </c>
      <c r="C109" s="294">
        <f>C110*(54/60)</f>
        <v>0</v>
      </c>
      <c r="D109" s="295"/>
      <c r="E109" s="297"/>
      <c r="F109" s="296"/>
    </row>
    <row r="110" spans="2:6" x14ac:dyDescent="0.4">
      <c r="B110" s="62" t="s">
        <v>172</v>
      </c>
      <c r="C110" s="294">
        <f t="shared" si="71"/>
        <v>0</v>
      </c>
      <c r="D110" s="295"/>
      <c r="E110" s="297"/>
    </row>
    <row r="111" spans="2:6" x14ac:dyDescent="0.4">
      <c r="B111" s="62" t="s">
        <v>174</v>
      </c>
      <c r="C111" s="294">
        <f t="shared" si="71"/>
        <v>0</v>
      </c>
      <c r="D111" s="295"/>
      <c r="E111" s="297"/>
    </row>
    <row r="112" spans="2:6" x14ac:dyDescent="0.4">
      <c r="B112" s="62" t="s">
        <v>176</v>
      </c>
      <c r="C112" s="294">
        <f t="shared" si="71"/>
        <v>0</v>
      </c>
      <c r="D112" s="295"/>
      <c r="E112" s="297"/>
    </row>
    <row r="113" spans="2:5" x14ac:dyDescent="0.4">
      <c r="B113" s="62" t="s">
        <v>179</v>
      </c>
      <c r="C113" s="294">
        <f t="shared" si="71"/>
        <v>0</v>
      </c>
      <c r="D113" s="295"/>
      <c r="E113" s="297"/>
    </row>
    <row r="114" spans="2:5" ht="15" thickBot="1" x14ac:dyDescent="0.45">
      <c r="B114" s="70" t="s">
        <v>180</v>
      </c>
      <c r="C114" s="298">
        <f t="shared" si="71"/>
        <v>0</v>
      </c>
      <c r="D114" s="295"/>
      <c r="E114" s="297"/>
    </row>
    <row r="115" spans="2:5" x14ac:dyDescent="0.4">
      <c r="B115" s="18"/>
      <c r="C115" s="18"/>
    </row>
    <row r="116" spans="2:5" x14ac:dyDescent="0.4">
      <c r="B116" s="18"/>
      <c r="C116" s="18"/>
    </row>
    <row r="117" spans="2:5" x14ac:dyDescent="0.4">
      <c r="B117" s="18"/>
      <c r="C117" s="18"/>
    </row>
  </sheetData>
  <pageMargins left="0.7" right="0.7" top="0.75" bottom="0.75" header="0.3" footer="0.3"/>
  <pageSetup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tabColor theme="8" tint="-0.249977111117893"/>
  </sheetPr>
  <dimension ref="A1:D115"/>
  <sheetViews>
    <sheetView zoomScale="90" zoomScaleNormal="90" workbookViewId="0">
      <selection activeCell="H26" sqref="H26"/>
    </sheetView>
  </sheetViews>
  <sheetFormatPr defaultColWidth="8.69140625" defaultRowHeight="14.6" x14ac:dyDescent="0.4"/>
  <cols>
    <col min="1" max="1" width="6.3046875" style="18" customWidth="1"/>
    <col min="2" max="2" width="41.69140625" style="18" customWidth="1"/>
    <col min="3" max="4" width="36.69140625" style="18" customWidth="1"/>
    <col min="5" max="5" width="30.84375" style="18" customWidth="1"/>
    <col min="6" max="16384" width="8.69140625" style="18"/>
  </cols>
  <sheetData>
    <row r="1" spans="1:4" ht="15" thickBot="1" x14ac:dyDescent="0.45"/>
    <row r="2" spans="1:4" ht="15" thickBot="1" x14ac:dyDescent="0.45">
      <c r="B2" s="51" t="s">
        <v>39</v>
      </c>
      <c r="C2" s="299" t="s">
        <v>40</v>
      </c>
      <c r="D2" s="299" t="s">
        <v>119</v>
      </c>
    </row>
    <row r="3" spans="1:4" x14ac:dyDescent="0.4">
      <c r="B3" s="1"/>
      <c r="C3" s="300"/>
      <c r="D3" s="300"/>
    </row>
    <row r="4" spans="1:4" ht="14.9" customHeight="1" x14ac:dyDescent="0.4">
      <c r="A4" s="53">
        <v>1</v>
      </c>
      <c r="B4" s="301">
        <f>'3. Intervention Details'!B6</f>
        <v>0</v>
      </c>
      <c r="C4" s="33">
        <f>'3. Intervention Details'!C6</f>
        <v>0</v>
      </c>
      <c r="D4" s="47">
        <f>'3. Intervention Details'!I6</f>
        <v>0</v>
      </c>
    </row>
    <row r="5" spans="1:4" x14ac:dyDescent="0.4">
      <c r="A5" s="53">
        <v>2</v>
      </c>
      <c r="B5" s="132">
        <f>'3. Intervention Details'!B7</f>
        <v>0</v>
      </c>
      <c r="C5" s="34">
        <f>'3. Intervention Details'!C7</f>
        <v>0</v>
      </c>
      <c r="D5" s="48">
        <f>'3. Intervention Details'!I7</f>
        <v>0</v>
      </c>
    </row>
    <row r="6" spans="1:4" x14ac:dyDescent="0.4">
      <c r="A6" s="53">
        <v>3</v>
      </c>
      <c r="B6" s="132">
        <f>'3. Intervention Details'!B8</f>
        <v>0</v>
      </c>
      <c r="C6" s="34">
        <f>'3. Intervention Details'!C8</f>
        <v>0</v>
      </c>
      <c r="D6" s="48">
        <f>'3. Intervention Details'!I8</f>
        <v>0</v>
      </c>
    </row>
    <row r="7" spans="1:4" x14ac:dyDescent="0.4">
      <c r="A7" s="58">
        <v>4</v>
      </c>
      <c r="B7" s="132">
        <f>'3. Intervention Details'!B9</f>
        <v>0</v>
      </c>
      <c r="C7" s="34">
        <f>'3. Intervention Details'!C9</f>
        <v>0</v>
      </c>
      <c r="D7" s="48">
        <f>'3. Intervention Details'!I9</f>
        <v>0</v>
      </c>
    </row>
    <row r="8" spans="1:4" x14ac:dyDescent="0.4">
      <c r="A8" s="53">
        <v>5</v>
      </c>
      <c r="B8" s="132">
        <f>'3. Intervention Details'!B10</f>
        <v>0</v>
      </c>
      <c r="C8" s="34">
        <f>'3. Intervention Details'!C10</f>
        <v>0</v>
      </c>
      <c r="D8" s="48">
        <f>'3. Intervention Details'!I10</f>
        <v>0</v>
      </c>
    </row>
    <row r="9" spans="1:4" x14ac:dyDescent="0.4">
      <c r="A9" s="53">
        <v>6</v>
      </c>
      <c r="B9" s="132">
        <f>'3. Intervention Details'!B11</f>
        <v>0</v>
      </c>
      <c r="C9" s="34">
        <f>'3. Intervention Details'!C11</f>
        <v>0</v>
      </c>
      <c r="D9" s="48">
        <f>'3. Intervention Details'!I11</f>
        <v>0</v>
      </c>
    </row>
    <row r="10" spans="1:4" x14ac:dyDescent="0.4">
      <c r="A10" s="53">
        <v>7</v>
      </c>
      <c r="B10" s="132">
        <f>'3. Intervention Details'!B12</f>
        <v>0</v>
      </c>
      <c r="C10" s="34">
        <f>'3. Intervention Details'!C12</f>
        <v>0</v>
      </c>
      <c r="D10" s="48">
        <f>'3. Intervention Details'!I12</f>
        <v>0</v>
      </c>
    </row>
    <row r="11" spans="1:4" x14ac:dyDescent="0.4">
      <c r="A11" s="58">
        <v>8</v>
      </c>
      <c r="B11" s="132">
        <f>'3. Intervention Details'!B13</f>
        <v>0</v>
      </c>
      <c r="C11" s="34">
        <f>'3. Intervention Details'!C13</f>
        <v>0</v>
      </c>
      <c r="D11" s="48">
        <f>'3. Intervention Details'!I13</f>
        <v>0</v>
      </c>
    </row>
    <row r="12" spans="1:4" x14ac:dyDescent="0.4">
      <c r="A12" s="53">
        <v>9</v>
      </c>
      <c r="B12" s="132">
        <f>'3. Intervention Details'!B14</f>
        <v>0</v>
      </c>
      <c r="C12" s="34">
        <f>'3. Intervention Details'!C14</f>
        <v>0</v>
      </c>
      <c r="D12" s="48">
        <f>'3. Intervention Details'!I14</f>
        <v>0</v>
      </c>
    </row>
    <row r="13" spans="1:4" x14ac:dyDescent="0.4">
      <c r="A13" s="53">
        <v>10</v>
      </c>
      <c r="B13" s="132">
        <f>'3. Intervention Details'!B15</f>
        <v>0</v>
      </c>
      <c r="C13" s="34">
        <f>'3. Intervention Details'!C15</f>
        <v>0</v>
      </c>
      <c r="D13" s="48">
        <f>'3. Intervention Details'!I15</f>
        <v>0</v>
      </c>
    </row>
    <row r="14" spans="1:4" x14ac:dyDescent="0.4">
      <c r="A14" s="53">
        <v>11</v>
      </c>
      <c r="B14" s="132">
        <f>'3. Intervention Details'!B16</f>
        <v>0</v>
      </c>
      <c r="C14" s="34">
        <f>'3. Intervention Details'!C16</f>
        <v>0</v>
      </c>
      <c r="D14" s="48">
        <f>'3. Intervention Details'!I16</f>
        <v>0</v>
      </c>
    </row>
    <row r="15" spans="1:4" ht="14.9" customHeight="1" x14ac:dyDescent="0.4">
      <c r="A15" s="58">
        <v>12</v>
      </c>
      <c r="B15" s="132">
        <f>'3. Intervention Details'!B17</f>
        <v>0</v>
      </c>
      <c r="C15" s="34">
        <f>'3. Intervention Details'!C17</f>
        <v>0</v>
      </c>
      <c r="D15" s="48">
        <f>'3. Intervention Details'!I17</f>
        <v>0</v>
      </c>
    </row>
    <row r="16" spans="1:4" x14ac:dyDescent="0.4">
      <c r="A16" s="53">
        <v>13</v>
      </c>
      <c r="B16" s="132">
        <f>'3. Intervention Details'!B18</f>
        <v>0</v>
      </c>
      <c r="C16" s="34">
        <f>'3. Intervention Details'!C18</f>
        <v>0</v>
      </c>
      <c r="D16" s="48">
        <f>'3. Intervention Details'!I18</f>
        <v>0</v>
      </c>
    </row>
    <row r="17" spans="1:4" x14ac:dyDescent="0.4">
      <c r="A17" s="53">
        <v>14</v>
      </c>
      <c r="B17" s="132">
        <f>'3. Intervention Details'!B19</f>
        <v>0</v>
      </c>
      <c r="C17" s="34">
        <f>'3. Intervention Details'!C19</f>
        <v>0</v>
      </c>
      <c r="D17" s="48">
        <f>'3. Intervention Details'!I19</f>
        <v>0</v>
      </c>
    </row>
    <row r="18" spans="1:4" x14ac:dyDescent="0.4">
      <c r="A18" s="53">
        <v>15</v>
      </c>
      <c r="B18" s="132">
        <f>'3. Intervention Details'!B20</f>
        <v>0</v>
      </c>
      <c r="C18" s="34">
        <f>'3. Intervention Details'!C20</f>
        <v>0</v>
      </c>
      <c r="D18" s="48">
        <f>'3. Intervention Details'!I20</f>
        <v>0</v>
      </c>
    </row>
    <row r="19" spans="1:4" x14ac:dyDescent="0.4">
      <c r="A19" s="58">
        <v>16</v>
      </c>
      <c r="B19" s="132">
        <f>'3. Intervention Details'!B21</f>
        <v>0</v>
      </c>
      <c r="C19" s="34">
        <f>'3. Intervention Details'!C21</f>
        <v>0</v>
      </c>
      <c r="D19" s="48">
        <f>'3. Intervention Details'!I21</f>
        <v>0</v>
      </c>
    </row>
    <row r="20" spans="1:4" x14ac:dyDescent="0.4">
      <c r="A20" s="53">
        <v>17</v>
      </c>
      <c r="B20" s="132">
        <f>'3. Intervention Details'!B22</f>
        <v>0</v>
      </c>
      <c r="C20" s="34">
        <f>'3. Intervention Details'!C22</f>
        <v>0</v>
      </c>
      <c r="D20" s="48">
        <f>'3. Intervention Details'!I22</f>
        <v>0</v>
      </c>
    </row>
    <row r="21" spans="1:4" x14ac:dyDescent="0.4">
      <c r="A21" s="53">
        <v>18</v>
      </c>
      <c r="B21" s="132">
        <f>'3. Intervention Details'!B23</f>
        <v>0</v>
      </c>
      <c r="C21" s="34">
        <f>'3. Intervention Details'!C23</f>
        <v>0</v>
      </c>
      <c r="D21" s="48">
        <f>'3. Intervention Details'!I23</f>
        <v>0</v>
      </c>
    </row>
    <row r="22" spans="1:4" x14ac:dyDescent="0.4">
      <c r="A22" s="53">
        <v>19</v>
      </c>
      <c r="B22" s="132">
        <f>'3. Intervention Details'!B24</f>
        <v>0</v>
      </c>
      <c r="C22" s="34">
        <f>'3. Intervention Details'!C24</f>
        <v>0</v>
      </c>
      <c r="D22" s="48">
        <f>'3. Intervention Details'!I24</f>
        <v>0</v>
      </c>
    </row>
    <row r="23" spans="1:4" x14ac:dyDescent="0.4">
      <c r="A23" s="58">
        <v>20</v>
      </c>
      <c r="B23" s="132">
        <f>'3. Intervention Details'!B25</f>
        <v>0</v>
      </c>
      <c r="C23" s="34">
        <f>'3. Intervention Details'!C25</f>
        <v>0</v>
      </c>
      <c r="D23" s="48">
        <f>'3. Intervention Details'!I25</f>
        <v>0</v>
      </c>
    </row>
    <row r="24" spans="1:4" x14ac:dyDescent="0.4">
      <c r="A24" s="53">
        <v>21</v>
      </c>
      <c r="B24" s="132">
        <f>'3. Intervention Details'!B26</f>
        <v>0</v>
      </c>
      <c r="C24" s="34">
        <f>'3. Intervention Details'!C26</f>
        <v>0</v>
      </c>
      <c r="D24" s="48">
        <f>'3. Intervention Details'!I26</f>
        <v>0</v>
      </c>
    </row>
    <row r="25" spans="1:4" x14ac:dyDescent="0.4">
      <c r="A25" s="53">
        <v>22</v>
      </c>
      <c r="B25" s="132">
        <f>'3. Intervention Details'!B27</f>
        <v>0</v>
      </c>
      <c r="C25" s="34">
        <f>'3. Intervention Details'!C27</f>
        <v>0</v>
      </c>
      <c r="D25" s="48">
        <f>'3. Intervention Details'!I27</f>
        <v>0</v>
      </c>
    </row>
    <row r="26" spans="1:4" x14ac:dyDescent="0.4">
      <c r="A26" s="53">
        <v>23</v>
      </c>
      <c r="B26" s="132">
        <f>'3. Intervention Details'!B28</f>
        <v>0</v>
      </c>
      <c r="C26" s="34">
        <f>'3. Intervention Details'!C28</f>
        <v>0</v>
      </c>
      <c r="D26" s="48">
        <f>'3. Intervention Details'!I28</f>
        <v>0</v>
      </c>
    </row>
    <row r="27" spans="1:4" x14ac:dyDescent="0.4">
      <c r="A27" s="58">
        <v>24</v>
      </c>
      <c r="B27" s="132">
        <f>'3. Intervention Details'!B29</f>
        <v>0</v>
      </c>
      <c r="C27" s="34">
        <f>'3. Intervention Details'!C29</f>
        <v>0</v>
      </c>
      <c r="D27" s="48">
        <f>'3. Intervention Details'!I29</f>
        <v>0</v>
      </c>
    </row>
    <row r="28" spans="1:4" x14ac:dyDescent="0.4">
      <c r="A28" s="53">
        <v>25</v>
      </c>
      <c r="B28" s="132">
        <f>'3. Intervention Details'!B30</f>
        <v>0</v>
      </c>
      <c r="C28" s="34">
        <f>'3. Intervention Details'!C30</f>
        <v>0</v>
      </c>
      <c r="D28" s="48">
        <f>'3. Intervention Details'!I30</f>
        <v>0</v>
      </c>
    </row>
    <row r="29" spans="1:4" x14ac:dyDescent="0.4">
      <c r="A29" s="53">
        <v>26</v>
      </c>
      <c r="B29" s="132">
        <f>'3. Intervention Details'!B31</f>
        <v>0</v>
      </c>
      <c r="C29" s="34">
        <f>'3. Intervention Details'!C31</f>
        <v>0</v>
      </c>
      <c r="D29" s="48">
        <f>'3. Intervention Details'!I31</f>
        <v>0</v>
      </c>
    </row>
    <row r="30" spans="1:4" x14ac:dyDescent="0.4">
      <c r="A30" s="53">
        <v>27</v>
      </c>
      <c r="B30" s="132">
        <f>'3. Intervention Details'!B32</f>
        <v>0</v>
      </c>
      <c r="C30" s="34">
        <f>'3. Intervention Details'!C32</f>
        <v>0</v>
      </c>
      <c r="D30" s="48">
        <f>'3. Intervention Details'!I32</f>
        <v>0</v>
      </c>
    </row>
    <row r="31" spans="1:4" x14ac:dyDescent="0.4">
      <c r="A31" s="58">
        <v>28</v>
      </c>
      <c r="B31" s="132">
        <f>'3. Intervention Details'!B33</f>
        <v>0</v>
      </c>
      <c r="C31" s="34">
        <f>'3. Intervention Details'!C33</f>
        <v>0</v>
      </c>
      <c r="D31" s="48">
        <f>'3. Intervention Details'!I33</f>
        <v>0</v>
      </c>
    </row>
    <row r="32" spans="1:4" x14ac:dyDescent="0.4">
      <c r="A32" s="53">
        <v>29</v>
      </c>
      <c r="B32" s="132">
        <f>'3. Intervention Details'!B34</f>
        <v>0</v>
      </c>
      <c r="C32" s="34">
        <f>'3. Intervention Details'!C34</f>
        <v>0</v>
      </c>
      <c r="D32" s="48">
        <f>'3. Intervention Details'!I34</f>
        <v>0</v>
      </c>
    </row>
    <row r="33" spans="1:4" x14ac:dyDescent="0.4">
      <c r="A33" s="53">
        <v>30</v>
      </c>
      <c r="B33" s="132">
        <f>'3. Intervention Details'!B35</f>
        <v>0</v>
      </c>
      <c r="C33" s="34">
        <f>'3. Intervention Details'!C35</f>
        <v>0</v>
      </c>
      <c r="D33" s="48">
        <f>'3. Intervention Details'!I35</f>
        <v>0</v>
      </c>
    </row>
    <row r="34" spans="1:4" x14ac:dyDescent="0.4">
      <c r="A34" s="53">
        <v>31</v>
      </c>
      <c r="B34" s="132">
        <f>'3. Intervention Details'!B36</f>
        <v>0</v>
      </c>
      <c r="C34" s="34">
        <f>'3. Intervention Details'!C36</f>
        <v>0</v>
      </c>
      <c r="D34" s="48">
        <f>'3. Intervention Details'!I36</f>
        <v>0</v>
      </c>
    </row>
    <row r="35" spans="1:4" x14ac:dyDescent="0.4">
      <c r="A35" s="58">
        <v>32</v>
      </c>
      <c r="B35" s="132">
        <f>'3. Intervention Details'!B37</f>
        <v>0</v>
      </c>
      <c r="C35" s="34">
        <f>'3. Intervention Details'!C37</f>
        <v>0</v>
      </c>
      <c r="D35" s="48">
        <f>'3. Intervention Details'!I37</f>
        <v>0</v>
      </c>
    </row>
    <row r="36" spans="1:4" x14ac:dyDescent="0.4">
      <c r="A36" s="53">
        <v>33</v>
      </c>
      <c r="B36" s="132">
        <f>'3. Intervention Details'!B38</f>
        <v>0</v>
      </c>
      <c r="C36" s="34">
        <f>'3. Intervention Details'!C38</f>
        <v>0</v>
      </c>
      <c r="D36" s="48">
        <f>'3. Intervention Details'!I38</f>
        <v>0</v>
      </c>
    </row>
    <row r="37" spans="1:4" x14ac:dyDescent="0.4">
      <c r="A37" s="53">
        <v>34</v>
      </c>
      <c r="B37" s="132">
        <f>'3. Intervention Details'!B39</f>
        <v>0</v>
      </c>
      <c r="C37" s="34">
        <f>'3. Intervention Details'!C39</f>
        <v>0</v>
      </c>
      <c r="D37" s="48">
        <f>'3. Intervention Details'!I39</f>
        <v>0</v>
      </c>
    </row>
    <row r="38" spans="1:4" x14ac:dyDescent="0.4">
      <c r="A38" s="53">
        <v>35</v>
      </c>
      <c r="B38" s="132">
        <f>'3. Intervention Details'!B40</f>
        <v>0</v>
      </c>
      <c r="C38" s="34">
        <f>'3. Intervention Details'!C40</f>
        <v>0</v>
      </c>
      <c r="D38" s="48">
        <f>'3. Intervention Details'!I40</f>
        <v>0</v>
      </c>
    </row>
    <row r="39" spans="1:4" x14ac:dyDescent="0.4">
      <c r="A39" s="58">
        <v>36</v>
      </c>
      <c r="B39" s="132">
        <f>'3. Intervention Details'!B41</f>
        <v>0</v>
      </c>
      <c r="C39" s="34">
        <f>'3. Intervention Details'!C41</f>
        <v>0</v>
      </c>
      <c r="D39" s="48">
        <f>'3. Intervention Details'!I41</f>
        <v>0</v>
      </c>
    </row>
    <row r="40" spans="1:4" x14ac:dyDescent="0.4">
      <c r="A40" s="53">
        <v>37</v>
      </c>
      <c r="B40" s="132">
        <f>'3. Intervention Details'!B42</f>
        <v>0</v>
      </c>
      <c r="C40" s="34">
        <f>'3. Intervention Details'!C42</f>
        <v>0</v>
      </c>
      <c r="D40" s="48">
        <f>'3. Intervention Details'!I42</f>
        <v>0</v>
      </c>
    </row>
    <row r="41" spans="1:4" x14ac:dyDescent="0.4">
      <c r="A41" s="53">
        <v>38</v>
      </c>
      <c r="B41" s="132">
        <f>'3. Intervention Details'!B43</f>
        <v>0</v>
      </c>
      <c r="C41" s="34">
        <f>'3. Intervention Details'!C43</f>
        <v>0</v>
      </c>
      <c r="D41" s="48">
        <f>'3. Intervention Details'!I43</f>
        <v>0</v>
      </c>
    </row>
    <row r="42" spans="1:4" x14ac:dyDescent="0.4">
      <c r="A42" s="53">
        <v>39</v>
      </c>
      <c r="B42" s="132">
        <f>'3. Intervention Details'!B44</f>
        <v>0</v>
      </c>
      <c r="C42" s="34">
        <f>'3. Intervention Details'!C44</f>
        <v>0</v>
      </c>
      <c r="D42" s="48">
        <f>'3. Intervention Details'!I44</f>
        <v>0</v>
      </c>
    </row>
    <row r="43" spans="1:4" x14ac:dyDescent="0.4">
      <c r="A43" s="58">
        <v>40</v>
      </c>
      <c r="B43" s="132">
        <f>'3. Intervention Details'!B45</f>
        <v>0</v>
      </c>
      <c r="C43" s="34">
        <f>'3. Intervention Details'!C45</f>
        <v>0</v>
      </c>
      <c r="D43" s="48">
        <f>'3. Intervention Details'!I45</f>
        <v>0</v>
      </c>
    </row>
    <row r="44" spans="1:4" x14ac:dyDescent="0.4">
      <c r="A44" s="53">
        <v>41</v>
      </c>
      <c r="B44" s="132">
        <f>'3. Intervention Details'!B46</f>
        <v>0</v>
      </c>
      <c r="C44" s="34">
        <f>'3. Intervention Details'!C46</f>
        <v>0</v>
      </c>
      <c r="D44" s="48">
        <f>'3. Intervention Details'!I46</f>
        <v>0</v>
      </c>
    </row>
    <row r="45" spans="1:4" x14ac:dyDescent="0.4">
      <c r="A45" s="53">
        <v>42</v>
      </c>
      <c r="B45" s="132">
        <f>'3. Intervention Details'!B47</f>
        <v>0</v>
      </c>
      <c r="C45" s="34">
        <f>'3. Intervention Details'!C47</f>
        <v>0</v>
      </c>
      <c r="D45" s="48">
        <f>'3. Intervention Details'!I47</f>
        <v>0</v>
      </c>
    </row>
    <row r="46" spans="1:4" x14ac:dyDescent="0.4">
      <c r="A46" s="53">
        <v>43</v>
      </c>
      <c r="B46" s="132">
        <f>'3. Intervention Details'!B48</f>
        <v>0</v>
      </c>
      <c r="C46" s="34">
        <f>'3. Intervention Details'!C48</f>
        <v>0</v>
      </c>
      <c r="D46" s="48">
        <f>'3. Intervention Details'!I48</f>
        <v>0</v>
      </c>
    </row>
    <row r="47" spans="1:4" x14ac:dyDescent="0.4">
      <c r="A47" s="58">
        <v>44</v>
      </c>
      <c r="B47" s="132">
        <f>'3. Intervention Details'!B49</f>
        <v>0</v>
      </c>
      <c r="C47" s="34">
        <f>'3. Intervention Details'!C49</f>
        <v>0</v>
      </c>
      <c r="D47" s="48">
        <f>'3. Intervention Details'!I49</f>
        <v>0</v>
      </c>
    </row>
    <row r="48" spans="1:4" x14ac:dyDescent="0.4">
      <c r="A48" s="53">
        <v>45</v>
      </c>
      <c r="B48" s="132">
        <f>'3. Intervention Details'!B50</f>
        <v>0</v>
      </c>
      <c r="C48" s="34">
        <f>'3. Intervention Details'!C50</f>
        <v>0</v>
      </c>
      <c r="D48" s="48">
        <f>'3. Intervention Details'!I50</f>
        <v>0</v>
      </c>
    </row>
    <row r="49" spans="1:4" x14ac:dyDescent="0.4">
      <c r="A49" s="53">
        <v>46</v>
      </c>
      <c r="B49" s="132">
        <f>'3. Intervention Details'!B51</f>
        <v>0</v>
      </c>
      <c r="C49" s="34">
        <f>'3. Intervention Details'!C51</f>
        <v>0</v>
      </c>
      <c r="D49" s="48">
        <f>'3. Intervention Details'!I51</f>
        <v>0</v>
      </c>
    </row>
    <row r="50" spans="1:4" x14ac:dyDescent="0.4">
      <c r="A50" s="53">
        <v>47</v>
      </c>
      <c r="B50" s="132">
        <f>'3. Intervention Details'!B52</f>
        <v>0</v>
      </c>
      <c r="C50" s="34">
        <f>'3. Intervention Details'!C52</f>
        <v>0</v>
      </c>
      <c r="D50" s="48">
        <f>'3. Intervention Details'!I52</f>
        <v>0</v>
      </c>
    </row>
    <row r="51" spans="1:4" x14ac:dyDescent="0.4">
      <c r="A51" s="58">
        <v>48</v>
      </c>
      <c r="B51" s="132">
        <f>'3. Intervention Details'!B53</f>
        <v>0</v>
      </c>
      <c r="C51" s="34">
        <f>'3. Intervention Details'!C53</f>
        <v>0</v>
      </c>
      <c r="D51" s="48">
        <f>'3. Intervention Details'!I53</f>
        <v>0</v>
      </c>
    </row>
    <row r="52" spans="1:4" x14ac:dyDescent="0.4">
      <c r="A52" s="53">
        <v>49</v>
      </c>
      <c r="B52" s="132">
        <f>'3. Intervention Details'!B54</f>
        <v>0</v>
      </c>
      <c r="C52" s="34">
        <f>'3. Intervention Details'!C54</f>
        <v>0</v>
      </c>
      <c r="D52" s="48">
        <f>'3. Intervention Details'!I54</f>
        <v>0</v>
      </c>
    </row>
    <row r="53" spans="1:4" x14ac:dyDescent="0.4">
      <c r="A53" s="53">
        <v>50</v>
      </c>
      <c r="B53" s="132">
        <f>'3. Intervention Details'!B55</f>
        <v>0</v>
      </c>
      <c r="C53" s="34">
        <f>'3. Intervention Details'!C55</f>
        <v>0</v>
      </c>
      <c r="D53" s="48">
        <f>'3. Intervention Details'!I55</f>
        <v>0</v>
      </c>
    </row>
    <row r="54" spans="1:4" x14ac:dyDescent="0.4">
      <c r="A54" s="53">
        <v>51</v>
      </c>
      <c r="B54" s="132">
        <f>'3. Intervention Details'!B56</f>
        <v>0</v>
      </c>
      <c r="C54" s="34">
        <f>'3. Intervention Details'!C56</f>
        <v>0</v>
      </c>
      <c r="D54" s="48">
        <f>'3. Intervention Details'!I56</f>
        <v>0</v>
      </c>
    </row>
    <row r="55" spans="1:4" x14ac:dyDescent="0.4">
      <c r="A55" s="58">
        <v>52</v>
      </c>
      <c r="B55" s="132">
        <f>'3. Intervention Details'!B57</f>
        <v>0</v>
      </c>
      <c r="C55" s="34">
        <f>'3. Intervention Details'!C57</f>
        <v>0</v>
      </c>
      <c r="D55" s="48">
        <f>'3. Intervention Details'!I57</f>
        <v>0</v>
      </c>
    </row>
    <row r="56" spans="1:4" x14ac:dyDescent="0.4">
      <c r="A56" s="53">
        <v>53</v>
      </c>
      <c r="B56" s="132">
        <f>'3. Intervention Details'!B58</f>
        <v>0</v>
      </c>
      <c r="C56" s="34">
        <f>'3. Intervention Details'!C58</f>
        <v>0</v>
      </c>
      <c r="D56" s="48">
        <f>'3. Intervention Details'!I58</f>
        <v>0</v>
      </c>
    </row>
    <row r="57" spans="1:4" x14ac:dyDescent="0.4">
      <c r="A57" s="53">
        <v>54</v>
      </c>
      <c r="B57" s="132">
        <f>'3. Intervention Details'!B59</f>
        <v>0</v>
      </c>
      <c r="C57" s="34">
        <f>'3. Intervention Details'!C59</f>
        <v>0</v>
      </c>
      <c r="D57" s="48">
        <f>'3. Intervention Details'!I59</f>
        <v>0</v>
      </c>
    </row>
    <row r="58" spans="1:4" x14ac:dyDescent="0.4">
      <c r="A58" s="53">
        <v>55</v>
      </c>
      <c r="B58" s="132">
        <f>'3. Intervention Details'!B60</f>
        <v>0</v>
      </c>
      <c r="C58" s="34">
        <f>'3. Intervention Details'!C60</f>
        <v>0</v>
      </c>
      <c r="D58" s="48">
        <f>'3. Intervention Details'!I60</f>
        <v>0</v>
      </c>
    </row>
    <row r="59" spans="1:4" x14ac:dyDescent="0.4">
      <c r="A59" s="58">
        <v>56</v>
      </c>
      <c r="B59" s="132">
        <f>'3. Intervention Details'!B61</f>
        <v>0</v>
      </c>
      <c r="C59" s="34">
        <f>'3. Intervention Details'!C61</f>
        <v>0</v>
      </c>
      <c r="D59" s="48">
        <f>'3. Intervention Details'!I61</f>
        <v>0</v>
      </c>
    </row>
    <row r="60" spans="1:4" x14ac:dyDescent="0.4">
      <c r="A60" s="53">
        <v>57</v>
      </c>
      <c r="B60" s="132">
        <f>'3. Intervention Details'!B62</f>
        <v>0</v>
      </c>
      <c r="C60" s="34">
        <f>'3. Intervention Details'!C62</f>
        <v>0</v>
      </c>
      <c r="D60" s="48">
        <f>'3. Intervention Details'!I62</f>
        <v>0</v>
      </c>
    </row>
    <row r="61" spans="1:4" x14ac:dyDescent="0.4">
      <c r="A61" s="53">
        <v>58</v>
      </c>
      <c r="B61" s="132">
        <f>'3. Intervention Details'!B63</f>
        <v>0</v>
      </c>
      <c r="C61" s="34">
        <f>'3. Intervention Details'!C63</f>
        <v>0</v>
      </c>
      <c r="D61" s="48">
        <f>'3. Intervention Details'!I63</f>
        <v>0</v>
      </c>
    </row>
    <row r="62" spans="1:4" x14ac:dyDescent="0.4">
      <c r="A62" s="53">
        <v>59</v>
      </c>
      <c r="B62" s="132">
        <f>'3. Intervention Details'!B64</f>
        <v>0</v>
      </c>
      <c r="C62" s="34">
        <f>'3. Intervention Details'!C64</f>
        <v>0</v>
      </c>
      <c r="D62" s="48">
        <f>'3. Intervention Details'!I64</f>
        <v>0</v>
      </c>
    </row>
    <row r="63" spans="1:4" x14ac:dyDescent="0.4">
      <c r="A63" s="58">
        <v>60</v>
      </c>
      <c r="B63" s="132">
        <f>'3. Intervention Details'!B65</f>
        <v>0</v>
      </c>
      <c r="C63" s="34">
        <f>'3. Intervention Details'!C65</f>
        <v>0</v>
      </c>
      <c r="D63" s="48">
        <f>'3. Intervention Details'!I65</f>
        <v>0</v>
      </c>
    </row>
    <row r="64" spans="1:4" x14ac:dyDescent="0.4">
      <c r="A64" s="53">
        <v>61</v>
      </c>
      <c r="B64" s="132">
        <f>'3. Intervention Details'!B66</f>
        <v>0</v>
      </c>
      <c r="C64" s="34">
        <f>'3. Intervention Details'!C66</f>
        <v>0</v>
      </c>
      <c r="D64" s="48">
        <f>'3. Intervention Details'!I66</f>
        <v>0</v>
      </c>
    </row>
    <row r="65" spans="1:4" x14ac:dyDescent="0.4">
      <c r="A65" s="53">
        <v>62</v>
      </c>
      <c r="B65" s="132">
        <f>'3. Intervention Details'!B67</f>
        <v>0</v>
      </c>
      <c r="C65" s="34">
        <f>'3. Intervention Details'!C67</f>
        <v>0</v>
      </c>
      <c r="D65" s="48">
        <f>'3. Intervention Details'!I67</f>
        <v>0</v>
      </c>
    </row>
    <row r="66" spans="1:4" x14ac:dyDescent="0.4">
      <c r="A66" s="53">
        <v>63</v>
      </c>
      <c r="B66" s="132">
        <f>'3. Intervention Details'!B68</f>
        <v>0</v>
      </c>
      <c r="C66" s="34">
        <f>'3. Intervention Details'!C68</f>
        <v>0</v>
      </c>
      <c r="D66" s="48">
        <f>'3. Intervention Details'!I68</f>
        <v>0</v>
      </c>
    </row>
    <row r="67" spans="1:4" x14ac:dyDescent="0.4">
      <c r="A67" s="58">
        <v>64</v>
      </c>
      <c r="B67" s="132">
        <f>'3. Intervention Details'!B69</f>
        <v>0</v>
      </c>
      <c r="C67" s="34">
        <f>'3. Intervention Details'!C69</f>
        <v>0</v>
      </c>
      <c r="D67" s="48">
        <f>'3. Intervention Details'!I69</f>
        <v>0</v>
      </c>
    </row>
    <row r="68" spans="1:4" x14ac:dyDescent="0.4">
      <c r="A68" s="53">
        <v>65</v>
      </c>
      <c r="B68" s="132">
        <f>'3. Intervention Details'!B70</f>
        <v>0</v>
      </c>
      <c r="C68" s="34">
        <f>'3. Intervention Details'!C70</f>
        <v>0</v>
      </c>
      <c r="D68" s="48">
        <f>'3. Intervention Details'!I70</f>
        <v>0</v>
      </c>
    </row>
    <row r="69" spans="1:4" x14ac:dyDescent="0.4">
      <c r="A69" s="53">
        <v>66</v>
      </c>
      <c r="B69" s="132">
        <f>'3. Intervention Details'!B71</f>
        <v>0</v>
      </c>
      <c r="C69" s="34">
        <f>'3. Intervention Details'!C71</f>
        <v>0</v>
      </c>
      <c r="D69" s="48">
        <f>'3. Intervention Details'!I71</f>
        <v>0</v>
      </c>
    </row>
    <row r="70" spans="1:4" x14ac:dyDescent="0.4">
      <c r="A70" s="53">
        <v>67</v>
      </c>
      <c r="B70" s="132">
        <f>'3. Intervention Details'!B72</f>
        <v>0</v>
      </c>
      <c r="C70" s="34">
        <f>'3. Intervention Details'!C72</f>
        <v>0</v>
      </c>
      <c r="D70" s="48">
        <f>'3. Intervention Details'!I72</f>
        <v>0</v>
      </c>
    </row>
    <row r="71" spans="1:4" x14ac:dyDescent="0.4">
      <c r="A71" s="58">
        <v>68</v>
      </c>
      <c r="B71" s="132">
        <f>'3. Intervention Details'!B73</f>
        <v>0</v>
      </c>
      <c r="C71" s="34">
        <f>'3. Intervention Details'!C73</f>
        <v>0</v>
      </c>
      <c r="D71" s="48">
        <f>'3. Intervention Details'!I73</f>
        <v>0</v>
      </c>
    </row>
    <row r="72" spans="1:4" x14ac:dyDescent="0.4">
      <c r="A72" s="53">
        <v>69</v>
      </c>
      <c r="B72" s="132">
        <f>'3. Intervention Details'!B74</f>
        <v>0</v>
      </c>
      <c r="C72" s="34">
        <f>'3. Intervention Details'!C74</f>
        <v>0</v>
      </c>
      <c r="D72" s="48">
        <f>'3. Intervention Details'!I74</f>
        <v>0</v>
      </c>
    </row>
    <row r="73" spans="1:4" x14ac:dyDescent="0.4">
      <c r="A73" s="53">
        <v>70</v>
      </c>
      <c r="B73" s="132">
        <f>'3. Intervention Details'!B75</f>
        <v>0</v>
      </c>
      <c r="C73" s="34">
        <f>'3. Intervention Details'!C75</f>
        <v>0</v>
      </c>
      <c r="D73" s="48">
        <f>'3. Intervention Details'!I75</f>
        <v>0</v>
      </c>
    </row>
    <row r="74" spans="1:4" x14ac:dyDescent="0.4">
      <c r="A74" s="53">
        <v>71</v>
      </c>
      <c r="B74" s="132">
        <f>'3. Intervention Details'!B76</f>
        <v>0</v>
      </c>
      <c r="C74" s="34">
        <f>'3. Intervention Details'!C76</f>
        <v>0</v>
      </c>
      <c r="D74" s="48">
        <f>'3. Intervention Details'!I76</f>
        <v>0</v>
      </c>
    </row>
    <row r="75" spans="1:4" x14ac:dyDescent="0.4">
      <c r="A75" s="58">
        <v>72</v>
      </c>
      <c r="B75" s="132">
        <f>'3. Intervention Details'!B77</f>
        <v>0</v>
      </c>
      <c r="C75" s="34">
        <f>'3. Intervention Details'!C77</f>
        <v>0</v>
      </c>
      <c r="D75" s="48">
        <f>'3. Intervention Details'!I77</f>
        <v>0</v>
      </c>
    </row>
    <row r="76" spans="1:4" x14ac:dyDescent="0.4">
      <c r="A76" s="53">
        <v>73</v>
      </c>
      <c r="B76" s="132">
        <f>'3. Intervention Details'!B78</f>
        <v>0</v>
      </c>
      <c r="C76" s="34">
        <f>'3. Intervention Details'!C78</f>
        <v>0</v>
      </c>
      <c r="D76" s="48">
        <f>'3. Intervention Details'!I78</f>
        <v>0</v>
      </c>
    </row>
    <row r="77" spans="1:4" x14ac:dyDescent="0.4">
      <c r="A77" s="53">
        <v>74</v>
      </c>
      <c r="B77" s="132">
        <f>'3. Intervention Details'!B79</f>
        <v>0</v>
      </c>
      <c r="C77" s="34">
        <f>'3. Intervention Details'!C79</f>
        <v>0</v>
      </c>
      <c r="D77" s="48">
        <f>'3. Intervention Details'!I79</f>
        <v>0</v>
      </c>
    </row>
    <row r="78" spans="1:4" x14ac:dyDescent="0.4">
      <c r="A78" s="53">
        <v>75</v>
      </c>
      <c r="B78" s="132">
        <f>'3. Intervention Details'!B80</f>
        <v>0</v>
      </c>
      <c r="C78" s="34">
        <f>'3. Intervention Details'!C80</f>
        <v>0</v>
      </c>
      <c r="D78" s="48">
        <f>'3. Intervention Details'!I80</f>
        <v>0</v>
      </c>
    </row>
    <row r="79" spans="1:4" x14ac:dyDescent="0.4">
      <c r="A79" s="58">
        <v>76</v>
      </c>
      <c r="B79" s="132">
        <f>'3. Intervention Details'!B81</f>
        <v>0</v>
      </c>
      <c r="C79" s="34">
        <f>'3. Intervention Details'!C81</f>
        <v>0</v>
      </c>
      <c r="D79" s="48">
        <f>'3. Intervention Details'!I81</f>
        <v>0</v>
      </c>
    </row>
    <row r="80" spans="1:4" x14ac:dyDescent="0.4">
      <c r="A80" s="53">
        <v>77</v>
      </c>
      <c r="B80" s="132">
        <f>'3. Intervention Details'!B82</f>
        <v>0</v>
      </c>
      <c r="C80" s="34">
        <f>'3. Intervention Details'!C82</f>
        <v>0</v>
      </c>
      <c r="D80" s="48">
        <f>'3. Intervention Details'!I82</f>
        <v>0</v>
      </c>
    </row>
    <row r="81" spans="1:4" ht="14.9" customHeight="1" x14ac:dyDescent="0.4">
      <c r="A81" s="53">
        <v>78</v>
      </c>
      <c r="B81" s="132">
        <f>'3. Intervention Details'!B83</f>
        <v>0</v>
      </c>
      <c r="C81" s="34">
        <f>'3. Intervention Details'!C83</f>
        <v>0</v>
      </c>
      <c r="D81" s="48">
        <f>'3. Intervention Details'!I83</f>
        <v>0</v>
      </c>
    </row>
    <row r="82" spans="1:4" x14ac:dyDescent="0.4">
      <c r="A82" s="53">
        <v>79</v>
      </c>
      <c r="B82" s="132">
        <f>'3. Intervention Details'!B84</f>
        <v>0</v>
      </c>
      <c r="C82" s="34">
        <f>'3. Intervention Details'!C84</f>
        <v>0</v>
      </c>
      <c r="D82" s="48">
        <f>'3. Intervention Details'!I84</f>
        <v>0</v>
      </c>
    </row>
    <row r="83" spans="1:4" x14ac:dyDescent="0.4">
      <c r="A83" s="58">
        <v>80</v>
      </c>
      <c r="B83" s="132">
        <f>'3. Intervention Details'!B85</f>
        <v>0</v>
      </c>
      <c r="C83" s="34">
        <f>'3. Intervention Details'!C85</f>
        <v>0</v>
      </c>
      <c r="D83" s="48">
        <f>'3. Intervention Details'!I85</f>
        <v>0</v>
      </c>
    </row>
    <row r="84" spans="1:4" x14ac:dyDescent="0.4">
      <c r="A84" s="53">
        <v>81</v>
      </c>
      <c r="B84" s="132">
        <f>'3. Intervention Details'!B86</f>
        <v>0</v>
      </c>
      <c r="C84" s="34">
        <f>'3. Intervention Details'!C86</f>
        <v>0</v>
      </c>
      <c r="D84" s="48">
        <f>'3. Intervention Details'!I86</f>
        <v>0</v>
      </c>
    </row>
    <row r="85" spans="1:4" x14ac:dyDescent="0.4">
      <c r="A85" s="53">
        <v>82</v>
      </c>
      <c r="B85" s="132">
        <f>'3. Intervention Details'!B87</f>
        <v>0</v>
      </c>
      <c r="C85" s="34">
        <f>'3. Intervention Details'!C87</f>
        <v>0</v>
      </c>
      <c r="D85" s="48">
        <f>'3. Intervention Details'!I87</f>
        <v>0</v>
      </c>
    </row>
    <row r="86" spans="1:4" x14ac:dyDescent="0.4">
      <c r="A86" s="53">
        <v>83</v>
      </c>
      <c r="B86" s="132">
        <f>'3. Intervention Details'!B88</f>
        <v>0</v>
      </c>
      <c r="C86" s="34">
        <f>'3. Intervention Details'!C88</f>
        <v>0</v>
      </c>
      <c r="D86" s="48">
        <f>'3. Intervention Details'!I88</f>
        <v>0</v>
      </c>
    </row>
    <row r="87" spans="1:4" x14ac:dyDescent="0.4">
      <c r="A87" s="58">
        <v>84</v>
      </c>
      <c r="B87" s="132">
        <f>'3. Intervention Details'!B89</f>
        <v>0</v>
      </c>
      <c r="C87" s="34">
        <f>'3. Intervention Details'!C89</f>
        <v>0</v>
      </c>
      <c r="D87" s="48">
        <f>'3. Intervention Details'!I89</f>
        <v>0</v>
      </c>
    </row>
    <row r="88" spans="1:4" x14ac:dyDescent="0.4">
      <c r="A88" s="53">
        <v>85</v>
      </c>
      <c r="B88" s="132">
        <f>'3. Intervention Details'!B90</f>
        <v>0</v>
      </c>
      <c r="C88" s="34">
        <f>'3. Intervention Details'!C90</f>
        <v>0</v>
      </c>
      <c r="D88" s="48">
        <f>'3. Intervention Details'!I90</f>
        <v>0</v>
      </c>
    </row>
    <row r="89" spans="1:4" x14ac:dyDescent="0.4">
      <c r="A89" s="53">
        <v>86</v>
      </c>
      <c r="B89" s="132">
        <f>'3. Intervention Details'!B91</f>
        <v>0</v>
      </c>
      <c r="C89" s="34">
        <f>'3. Intervention Details'!C91</f>
        <v>0</v>
      </c>
      <c r="D89" s="48">
        <f>'3. Intervention Details'!I91</f>
        <v>0</v>
      </c>
    </row>
    <row r="90" spans="1:4" x14ac:dyDescent="0.4">
      <c r="A90" s="53">
        <v>87</v>
      </c>
      <c r="B90" s="132">
        <f>'3. Intervention Details'!B92</f>
        <v>0</v>
      </c>
      <c r="C90" s="34">
        <f>'3. Intervention Details'!C92</f>
        <v>0</v>
      </c>
      <c r="D90" s="48">
        <f>'3. Intervention Details'!I92</f>
        <v>0</v>
      </c>
    </row>
    <row r="91" spans="1:4" x14ac:dyDescent="0.4">
      <c r="A91" s="58">
        <v>88</v>
      </c>
      <c r="B91" s="132">
        <f>'3. Intervention Details'!B93</f>
        <v>0</v>
      </c>
      <c r="C91" s="34">
        <f>'3. Intervention Details'!C93</f>
        <v>0</v>
      </c>
      <c r="D91" s="48">
        <f>'3. Intervention Details'!I93</f>
        <v>0</v>
      </c>
    </row>
    <row r="92" spans="1:4" x14ac:dyDescent="0.4">
      <c r="A92" s="53">
        <v>89</v>
      </c>
      <c r="B92" s="132">
        <f>'3. Intervention Details'!B94</f>
        <v>0</v>
      </c>
      <c r="C92" s="34">
        <f>'3. Intervention Details'!C94</f>
        <v>0</v>
      </c>
      <c r="D92" s="48">
        <f>'3. Intervention Details'!I94</f>
        <v>0</v>
      </c>
    </row>
    <row r="93" spans="1:4" x14ac:dyDescent="0.4">
      <c r="A93" s="53">
        <v>90</v>
      </c>
      <c r="B93" s="132">
        <f>'3. Intervention Details'!B95</f>
        <v>0</v>
      </c>
      <c r="C93" s="34">
        <f>'3. Intervention Details'!C95</f>
        <v>0</v>
      </c>
      <c r="D93" s="48">
        <f>'3. Intervention Details'!I95</f>
        <v>0</v>
      </c>
    </row>
    <row r="94" spans="1:4" x14ac:dyDescent="0.4">
      <c r="A94" s="53">
        <v>91</v>
      </c>
      <c r="B94" s="132">
        <f>'3. Intervention Details'!B96</f>
        <v>0</v>
      </c>
      <c r="C94" s="34">
        <f>'3. Intervention Details'!C96</f>
        <v>0</v>
      </c>
      <c r="D94" s="48">
        <f>'3. Intervention Details'!I96</f>
        <v>0</v>
      </c>
    </row>
    <row r="95" spans="1:4" x14ac:dyDescent="0.4">
      <c r="A95" s="58">
        <v>92</v>
      </c>
      <c r="B95" s="132">
        <f>'3. Intervention Details'!B97</f>
        <v>0</v>
      </c>
      <c r="C95" s="34">
        <f>'3. Intervention Details'!C97</f>
        <v>0</v>
      </c>
      <c r="D95" s="48">
        <f>'3. Intervention Details'!I97</f>
        <v>0</v>
      </c>
    </row>
    <row r="96" spans="1:4" x14ac:dyDescent="0.4">
      <c r="A96" s="53">
        <v>93</v>
      </c>
      <c r="B96" s="132">
        <f>'3. Intervention Details'!B98</f>
        <v>0</v>
      </c>
      <c r="C96" s="34">
        <f>'3. Intervention Details'!C98</f>
        <v>0</v>
      </c>
      <c r="D96" s="48">
        <f>'3. Intervention Details'!I98</f>
        <v>0</v>
      </c>
    </row>
    <row r="97" spans="1:4" x14ac:dyDescent="0.4">
      <c r="A97" s="53">
        <v>94</v>
      </c>
      <c r="B97" s="132">
        <f>'3. Intervention Details'!B99</f>
        <v>0</v>
      </c>
      <c r="C97" s="34">
        <f>'3. Intervention Details'!C99</f>
        <v>0</v>
      </c>
      <c r="D97" s="48">
        <f>'3. Intervention Details'!I99</f>
        <v>0</v>
      </c>
    </row>
    <row r="98" spans="1:4" x14ac:dyDescent="0.4">
      <c r="A98" s="58">
        <v>95</v>
      </c>
      <c r="B98" s="132">
        <f>'3. Intervention Details'!B100</f>
        <v>0</v>
      </c>
      <c r="C98" s="34">
        <f>'3. Intervention Details'!C100</f>
        <v>0</v>
      </c>
      <c r="D98" s="48">
        <f>'3. Intervention Details'!I100</f>
        <v>0</v>
      </c>
    </row>
    <row r="99" spans="1:4" x14ac:dyDescent="0.4">
      <c r="A99" s="53">
        <v>96</v>
      </c>
      <c r="B99" s="132">
        <f>'3. Intervention Details'!B101</f>
        <v>0</v>
      </c>
      <c r="C99" s="34">
        <f>'3. Intervention Details'!C101</f>
        <v>0</v>
      </c>
      <c r="D99" s="48">
        <f>'3. Intervention Details'!I101</f>
        <v>0</v>
      </c>
    </row>
    <row r="100" spans="1:4" x14ac:dyDescent="0.4">
      <c r="A100" s="53">
        <v>97</v>
      </c>
      <c r="B100" s="132">
        <f>'3. Intervention Details'!B102</f>
        <v>0</v>
      </c>
      <c r="C100" s="34">
        <f>'3. Intervention Details'!C102</f>
        <v>0</v>
      </c>
      <c r="D100" s="48">
        <f>'3. Intervention Details'!I102</f>
        <v>0</v>
      </c>
    </row>
    <row r="101" spans="1:4" x14ac:dyDescent="0.4">
      <c r="A101" s="58">
        <v>98</v>
      </c>
      <c r="B101" s="132">
        <f>'3. Intervention Details'!B103</f>
        <v>0</v>
      </c>
      <c r="C101" s="34">
        <f>'3. Intervention Details'!C103</f>
        <v>0</v>
      </c>
      <c r="D101" s="48">
        <f>'3. Intervention Details'!I103</f>
        <v>0</v>
      </c>
    </row>
    <row r="102" spans="1:4" x14ac:dyDescent="0.4">
      <c r="A102" s="53">
        <v>99</v>
      </c>
      <c r="B102" s="132">
        <f>'3. Intervention Details'!B104</f>
        <v>0</v>
      </c>
      <c r="C102" s="34">
        <f>'3. Intervention Details'!C104</f>
        <v>0</v>
      </c>
      <c r="D102" s="48">
        <f>'3. Intervention Details'!I104</f>
        <v>0</v>
      </c>
    </row>
    <row r="103" spans="1:4" x14ac:dyDescent="0.4">
      <c r="A103" s="53">
        <v>100</v>
      </c>
      <c r="B103" s="134">
        <f>'3. Intervention Details'!B105</f>
        <v>0</v>
      </c>
      <c r="C103" s="135">
        <f>'3. Intervention Details'!C105</f>
        <v>0</v>
      </c>
      <c r="D103" s="46">
        <f>'3. Intervention Details'!I105</f>
        <v>0</v>
      </c>
    </row>
    <row r="104" spans="1:4" x14ac:dyDescent="0.4">
      <c r="B104"/>
      <c r="C104"/>
    </row>
    <row r="105" spans="1:4" x14ac:dyDescent="0.4">
      <c r="B105"/>
      <c r="C105"/>
    </row>
    <row r="106" spans="1:4" x14ac:dyDescent="0.4">
      <c r="B106"/>
      <c r="C106"/>
    </row>
    <row r="107" spans="1:4" x14ac:dyDescent="0.4">
      <c r="B107"/>
      <c r="C107"/>
    </row>
    <row r="108" spans="1:4" x14ac:dyDescent="0.4">
      <c r="B108"/>
      <c r="C108"/>
    </row>
    <row r="109" spans="1:4" x14ac:dyDescent="0.4">
      <c r="B109"/>
      <c r="C109"/>
    </row>
    <row r="110" spans="1:4" x14ac:dyDescent="0.4">
      <c r="B110"/>
      <c r="C110"/>
    </row>
    <row r="111" spans="1:4" x14ac:dyDescent="0.4">
      <c r="B111"/>
      <c r="C111"/>
    </row>
    <row r="112" spans="1:4" x14ac:dyDescent="0.4">
      <c r="B112"/>
      <c r="C112"/>
    </row>
    <row r="113" spans="2:3" x14ac:dyDescent="0.4">
      <c r="B113"/>
      <c r="C113"/>
    </row>
    <row r="114" spans="2:3" x14ac:dyDescent="0.4">
      <c r="B114"/>
      <c r="C114"/>
    </row>
    <row r="115" spans="2:3" x14ac:dyDescent="0.4">
      <c r="B115"/>
      <c r="C115"/>
    </row>
  </sheetData>
  <pageMargins left="0.7" right="0.7" top="0.75" bottom="0.75" header="0.3" footer="0.3"/>
  <pageSetup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92">
    <tabColor theme="8" tint="-0.249977111117893"/>
  </sheetPr>
  <dimension ref="A1:AD120"/>
  <sheetViews>
    <sheetView topLeftCell="B1" zoomScale="90" zoomScaleNormal="90" workbookViewId="0">
      <selection activeCell="M6" sqref="M6"/>
    </sheetView>
  </sheetViews>
  <sheetFormatPr defaultColWidth="8.84375" defaultRowHeight="14.6" x14ac:dyDescent="0.4"/>
  <cols>
    <col min="1" max="1" width="5.3046875" style="180" customWidth="1"/>
    <col min="2" max="2" width="14" style="99" customWidth="1"/>
    <col min="3" max="11" width="14" customWidth="1"/>
    <col min="12" max="12" width="14" style="208" customWidth="1"/>
    <col min="13" max="13" width="14.07421875" style="208" customWidth="1"/>
    <col min="14" max="14" width="14.3046875" style="208" customWidth="1"/>
    <col min="15" max="15" width="14" style="208" customWidth="1"/>
    <col min="17" max="17" width="13.69140625" bestFit="1" customWidth="1"/>
    <col min="27" max="30" width="10.4609375" style="18" customWidth="1"/>
  </cols>
  <sheetData>
    <row r="1" spans="1:30" ht="15" thickBot="1" x14ac:dyDescent="0.45">
      <c r="A1" s="178"/>
      <c r="C1" s="112">
        <v>2</v>
      </c>
      <c r="D1" s="112">
        <v>9</v>
      </c>
      <c r="E1" s="112">
        <v>10</v>
      </c>
      <c r="F1" s="112">
        <v>11</v>
      </c>
      <c r="G1" s="112">
        <v>12</v>
      </c>
      <c r="H1" s="112">
        <v>6</v>
      </c>
      <c r="I1" s="112">
        <v>5</v>
      </c>
      <c r="J1" s="112">
        <v>4</v>
      </c>
      <c r="K1" s="112">
        <v>3</v>
      </c>
      <c r="L1" s="179">
        <v>2</v>
      </c>
      <c r="M1" s="179">
        <v>3</v>
      </c>
      <c r="N1" s="179">
        <v>4</v>
      </c>
      <c r="O1" s="179">
        <v>5</v>
      </c>
      <c r="Q1" s="324" t="s">
        <v>1043</v>
      </c>
    </row>
    <row r="2" spans="1:30" ht="21" thickBot="1" x14ac:dyDescent="0.6">
      <c r="B2" s="302"/>
      <c r="C2" s="181" t="s">
        <v>40</v>
      </c>
      <c r="D2" s="181" t="s">
        <v>118</v>
      </c>
      <c r="E2" s="181"/>
      <c r="F2" s="181"/>
      <c r="G2" s="181"/>
      <c r="H2" s="181" t="s">
        <v>44</v>
      </c>
      <c r="I2" s="181" t="s">
        <v>43</v>
      </c>
      <c r="J2" s="181" t="s">
        <v>1013</v>
      </c>
      <c r="K2" s="181" t="s">
        <v>41</v>
      </c>
      <c r="L2" s="183">
        <f>baseline_year</f>
        <v>0</v>
      </c>
      <c r="M2" s="184">
        <f>baseline_year+1</f>
        <v>1</v>
      </c>
      <c r="N2" s="184">
        <f t="shared" ref="N2:O2" si="0">M2+1</f>
        <v>2</v>
      </c>
      <c r="O2" s="184">
        <f t="shared" si="0"/>
        <v>3</v>
      </c>
      <c r="AA2" s="327"/>
      <c r="AB2" s="327"/>
      <c r="AC2" s="327"/>
      <c r="AD2" s="327"/>
    </row>
    <row r="3" spans="1:30" ht="15" thickBot="1" x14ac:dyDescent="0.45">
      <c r="A3" s="185"/>
      <c r="B3" s="302"/>
      <c r="C3" s="184"/>
      <c r="D3" s="184"/>
      <c r="E3" s="184"/>
      <c r="F3" s="184"/>
      <c r="G3" s="184"/>
      <c r="H3" s="184"/>
      <c r="I3" s="184"/>
      <c r="J3" s="184"/>
      <c r="K3" s="184"/>
      <c r="L3" s="186"/>
      <c r="M3" s="184"/>
      <c r="N3" s="184"/>
      <c r="O3" s="303"/>
    </row>
    <row r="4" spans="1:30" ht="87.9" thickBot="1" x14ac:dyDescent="0.45">
      <c r="B4" s="304" t="s">
        <v>120</v>
      </c>
      <c r="C4" s="184"/>
      <c r="D4" s="184"/>
      <c r="E4" s="184"/>
      <c r="F4" s="184"/>
      <c r="G4" s="184"/>
      <c r="H4" s="184"/>
      <c r="I4" s="184"/>
      <c r="J4" s="184"/>
      <c r="K4" s="184"/>
      <c r="L4" s="305">
        <f>ROUND(SUM(L6:L105),0)</f>
        <v>0</v>
      </c>
      <c r="M4" s="303">
        <f t="shared" ref="M4:T4" si="1">ROUND(SUM(M6:M105),0)</f>
        <v>0</v>
      </c>
      <c r="N4" s="303">
        <f t="shared" si="1"/>
        <v>0</v>
      </c>
      <c r="O4" s="303">
        <f t="shared" si="1"/>
        <v>0</v>
      </c>
      <c r="Q4" s="306">
        <f t="shared" si="1"/>
        <v>0</v>
      </c>
      <c r="R4" s="306">
        <f t="shared" si="1"/>
        <v>0</v>
      </c>
      <c r="S4" s="306">
        <f t="shared" si="1"/>
        <v>0</v>
      </c>
      <c r="T4" s="306">
        <f t="shared" si="1"/>
        <v>0</v>
      </c>
      <c r="AA4" s="52" t="s">
        <v>1022</v>
      </c>
      <c r="AB4" s="52" t="s">
        <v>1025</v>
      </c>
      <c r="AC4" s="52" t="s">
        <v>1026</v>
      </c>
      <c r="AD4" s="52" t="s">
        <v>1027</v>
      </c>
    </row>
    <row r="5" spans="1:30" ht="15" thickBot="1" x14ac:dyDescent="0.45">
      <c r="B5" s="304"/>
      <c r="C5" s="184"/>
      <c r="D5" s="184"/>
      <c r="E5" s="184"/>
      <c r="F5" s="184"/>
      <c r="G5" s="184"/>
      <c r="H5" s="184"/>
      <c r="I5" s="184"/>
      <c r="J5" s="184"/>
      <c r="K5" s="184"/>
      <c r="L5" s="186"/>
      <c r="M5" s="184"/>
      <c r="N5" s="184"/>
      <c r="O5" s="184"/>
      <c r="AA5" s="54"/>
      <c r="AB5" s="55"/>
      <c r="AC5" s="55"/>
      <c r="AD5" s="55"/>
    </row>
    <row r="6" spans="1:30" ht="15" thickBot="1" x14ac:dyDescent="0.45">
      <c r="A6" s="113">
        <v>1</v>
      </c>
      <c r="B6" s="307" t="str">
        <f>IF(Coverage!$B6="","",Coverage!$B6)</f>
        <v/>
      </c>
      <c r="C6" s="151" t="str">
        <f t="shared" ref="C6:K21" si="2">IFERROR((VLOOKUP($B6,lookup_masterlist,C$1,FALSE)),"")</f>
        <v/>
      </c>
      <c r="D6" s="308" t="str">
        <f>AA6</f>
        <v/>
      </c>
      <c r="E6" s="308" t="str">
        <f>AB6</f>
        <v/>
      </c>
      <c r="F6" s="308" t="str">
        <f>AC6</f>
        <v/>
      </c>
      <c r="G6" s="308" t="str">
        <f>AD6</f>
        <v>Binome</v>
      </c>
      <c r="H6" s="151" t="str">
        <f t="shared" si="2"/>
        <v/>
      </c>
      <c r="I6" s="151" t="str">
        <f t="shared" si="2"/>
        <v/>
      </c>
      <c r="J6" s="151" t="str">
        <f t="shared" si="2"/>
        <v/>
      </c>
      <c r="K6" s="151" t="str">
        <f t="shared" si="2"/>
        <v/>
      </c>
      <c r="L6" s="309">
        <f>IFERROR(IF($I6="Urban",(VLOOKUP($K6,lookup_urban,L$1,FALSE)*$H6*Coverage!H6),IF($I6="Rural",(VLOOKUP($K6,lookup_rural,L$1,FALSE)*$H6*Coverage!G6),(VLOOKUP($K6,lookup_demography,L$1,FALSE)*$H6*Coverage!G6))),0)</f>
        <v>0</v>
      </c>
      <c r="M6" s="309">
        <f>IFERROR(IF($I6="Urban",(VLOOKUP($K6,lookup_urban,M$1,FALSE)*$H6*Coverage!I6),IF($I6="Rural",(VLOOKUP($K6,lookup_rural,M$1,FALSE)*$H6*Coverage!I6),(VLOOKUP($K6,lookup_demography,M$1,FALSE)*$H6*Coverage!I6))),0)</f>
        <v>0</v>
      </c>
      <c r="N6" s="197">
        <f>IFERROR(IF($I6="Urban",(VLOOKUP($K6,lookup_urban,N$1,FALSE)*$H6*Coverage!J6),IF($I6="Rural",(VLOOKUP($K6,lookup_rural,N$1,FALSE)*$H6*Coverage!J6),(VLOOKUP($K6,lookup_demography,N$1,FALSE)*$H6*Coverage!J6))),0)</f>
        <v>0</v>
      </c>
      <c r="O6" s="197">
        <f>IFERROR(IF($I6="Urban",(VLOOKUP($K6,lookup_urban,O$1,FALSE)*$H6*Coverage!K6),IF($I6="Rural",(VLOOKUP($K6,lookup_rural,O$1,FALSE)*$H6*Coverage!K6),(VLOOKUP($K6,lookup_demography,O$1,FALSE)*$H6*Coverage!K6))),0)</f>
        <v>0</v>
      </c>
      <c r="Q6" s="170">
        <f>L6*'3. Intervention Details'!$H6</f>
        <v>0</v>
      </c>
      <c r="R6">
        <f>M6*'3. Intervention Details'!$H6</f>
        <v>0</v>
      </c>
      <c r="S6">
        <f>N6*'3. Intervention Details'!$H6</f>
        <v>0</v>
      </c>
      <c r="T6">
        <f>O6*'3. Intervention Details'!$H6</f>
        <v>0</v>
      </c>
      <c r="AA6" s="56" t="str">
        <f>IF('4. Policy Interactive Screen'!F15&lt;&gt;"",'4. Policy Interactive Screen'!F15,"")</f>
        <v/>
      </c>
      <c r="AB6" s="56" t="str">
        <f>IF('4. Policy Interactive Screen'!I15&lt;&gt;"",'4. Policy Interactive Screen'!I15,"")</f>
        <v/>
      </c>
      <c r="AC6" s="56" t="str">
        <f>IF('4. Policy Interactive Screen'!L15&lt;&gt;"",'4. Policy Interactive Screen'!L15,"")</f>
        <v/>
      </c>
      <c r="AD6" s="56" t="str">
        <f>IF('policy interact graph numbers'!AR15&lt;&gt;"",'policy interact graph numbers'!AR15,"")</f>
        <v>Binome</v>
      </c>
    </row>
    <row r="7" spans="1:30" ht="15" thickBot="1" x14ac:dyDescent="0.45">
      <c r="A7" s="113">
        <v>2</v>
      </c>
      <c r="B7" s="310" t="str">
        <f>IF(Coverage!$B7="","",Coverage!$B7)</f>
        <v/>
      </c>
      <c r="C7" s="34" t="str">
        <f t="shared" si="2"/>
        <v/>
      </c>
      <c r="D7" s="308" t="str">
        <f t="shared" ref="D7:D70" si="3">AA7</f>
        <v/>
      </c>
      <c r="E7" s="308" t="str">
        <f t="shared" ref="E7:E70" si="4">AB7</f>
        <v/>
      </c>
      <c r="F7" s="308" t="str">
        <f t="shared" ref="F7:F70" si="5">AC7</f>
        <v/>
      </c>
      <c r="G7" s="308" t="str">
        <f t="shared" ref="G7:G70" si="6">AD7</f>
        <v>Binome</v>
      </c>
      <c r="H7" s="34" t="str">
        <f t="shared" si="2"/>
        <v/>
      </c>
      <c r="I7" s="34" t="str">
        <f t="shared" si="2"/>
        <v/>
      </c>
      <c r="J7" s="34" t="str">
        <f t="shared" si="2"/>
        <v/>
      </c>
      <c r="K7" s="34" t="str">
        <f t="shared" si="2"/>
        <v/>
      </c>
      <c r="L7" s="202">
        <f>IFERROR(IF($I7="Urban",(VLOOKUP($K7,lookup_urban,L$1,FALSE)*$H7*Coverage!H7),IF($I7="Rural",(VLOOKUP($K7,lookup_rural,L$1,FALSE)*$H7*Coverage!G7),(VLOOKUP($K7,lookup_demography,L$1,FALSE)*$H7*Coverage!G7))),0)</f>
        <v>0</v>
      </c>
      <c r="M7" s="202">
        <f>IFERROR(IF($I7="Urban",(VLOOKUP($K7,lookup_urban,M$1,FALSE)*$H7*Coverage!I7),IF($I7="Rural",(VLOOKUP($K7,lookup_rural,M$1,FALSE)*$H7*Coverage!I7),(VLOOKUP($K7,lookup_demography,M$1,FALSE)*$H7*Coverage!I7))),0)</f>
        <v>0</v>
      </c>
      <c r="N7" s="202">
        <f>IFERROR(IF($I7="Urban",(VLOOKUP($K7,lookup_urban,N$1,FALSE)*$H7*Coverage!J7),IF($I7="Rural",(VLOOKUP($K7,lookup_rural,N$1,FALSE)*$H7*Coverage!J7),(VLOOKUP($K7,lookup_demography,N$1,FALSE)*$H7*Coverage!J7))),0)</f>
        <v>0</v>
      </c>
      <c r="O7" s="202">
        <f>IFERROR(IF($I7="Urban",(VLOOKUP($K7,lookup_urban,O$1,FALSE)*$H7*Coverage!K7),IF($I7="Rural",(VLOOKUP($K7,lookup_rural,O$1,FALSE)*$H7*Coverage!K7),(VLOOKUP($K7,lookup_demography,O$1,FALSE)*$H7*Coverage!K7))),0)</f>
        <v>0</v>
      </c>
      <c r="Q7">
        <f>L7*'3. Intervention Details'!$H7</f>
        <v>0</v>
      </c>
      <c r="R7">
        <f>M7*'3. Intervention Details'!$H7</f>
        <v>0</v>
      </c>
      <c r="S7">
        <f>N7*'3. Intervention Details'!$H7</f>
        <v>0</v>
      </c>
      <c r="T7">
        <f>O7*'3. Intervention Details'!$H7</f>
        <v>0</v>
      </c>
      <c r="AA7" s="56" t="str">
        <f>IF('4. Policy Interactive Screen'!F16&lt;&gt;"",'4. Policy Interactive Screen'!F16,"")</f>
        <v/>
      </c>
      <c r="AB7" s="56" t="str">
        <f>IF('4. Policy Interactive Screen'!I16&lt;&gt;"",'4. Policy Interactive Screen'!I16,"")</f>
        <v/>
      </c>
      <c r="AC7" s="56" t="str">
        <f>IF('4. Policy Interactive Screen'!L16&lt;&gt;"",'4. Policy Interactive Screen'!L16,"")</f>
        <v/>
      </c>
      <c r="AD7" s="56" t="str">
        <f>IF('policy interact graph numbers'!AR16&lt;&gt;"",'policy interact graph numbers'!AR16,"")</f>
        <v>Binome</v>
      </c>
    </row>
    <row r="8" spans="1:30" ht="15" thickBot="1" x14ac:dyDescent="0.45">
      <c r="A8" s="113">
        <v>3</v>
      </c>
      <c r="B8" s="310" t="str">
        <f>IF(Coverage!$B8="","",Coverage!$B8)</f>
        <v/>
      </c>
      <c r="C8" s="34" t="str">
        <f t="shared" si="2"/>
        <v/>
      </c>
      <c r="D8" s="308" t="str">
        <f t="shared" si="3"/>
        <v/>
      </c>
      <c r="E8" s="308" t="str">
        <f t="shared" si="4"/>
        <v/>
      </c>
      <c r="F8" s="308" t="str">
        <f t="shared" si="5"/>
        <v/>
      </c>
      <c r="G8" s="308" t="str">
        <f t="shared" si="6"/>
        <v>Binome</v>
      </c>
      <c r="H8" s="34" t="str">
        <f t="shared" si="2"/>
        <v/>
      </c>
      <c r="I8" s="34" t="str">
        <f t="shared" si="2"/>
        <v/>
      </c>
      <c r="J8" s="34" t="str">
        <f t="shared" si="2"/>
        <v/>
      </c>
      <c r="K8" s="34" t="str">
        <f t="shared" si="2"/>
        <v/>
      </c>
      <c r="L8" s="202">
        <f>IFERROR(IF($I8="Urban",(VLOOKUP($K8,lookup_urban,L$1,FALSE)*$H8*Coverage!H8),IF($I8="Rural",(VLOOKUP($K8,lookup_rural,L$1,FALSE)*$H8*Coverage!G8),(VLOOKUP($K8,lookup_demography,L$1,FALSE)*$H8*Coverage!G8))),0)</f>
        <v>0</v>
      </c>
      <c r="M8" s="202">
        <f>IFERROR(IF($I8="Urban",(VLOOKUP($K8,lookup_urban,M$1,FALSE)*$H8*Coverage!I8),IF($I8="Rural",(VLOOKUP($K8,lookup_rural,M$1,FALSE)*$H8*Coverage!I8),(VLOOKUP($K8,lookup_demography,M$1,FALSE)*$H8*Coverage!I8))),0)</f>
        <v>0</v>
      </c>
      <c r="N8" s="202">
        <f>IFERROR(IF($I8="Urban",(VLOOKUP($K8,lookup_urban,N$1,FALSE)*$H8*Coverage!J8),IF($I8="Rural",(VLOOKUP($K8,lookup_rural,N$1,FALSE)*$H8*Coverage!J8),(VLOOKUP($K8,lookup_demography,N$1,FALSE)*$H8*Coverage!J8))),0)</f>
        <v>0</v>
      </c>
      <c r="O8" s="202">
        <f>IFERROR(IF($I8="Urban",(VLOOKUP($K8,lookup_urban,O$1,FALSE)*$H8*Coverage!K8),IF($I8="Rural",(VLOOKUP($K8,lookup_rural,O$1,FALSE)*$H8*Coverage!K8),(VLOOKUP($K8,lookup_demography,O$1,FALSE)*$H8*Coverage!K8))),0)</f>
        <v>0</v>
      </c>
      <c r="Q8">
        <f>L8*'3. Intervention Details'!$H8</f>
        <v>0</v>
      </c>
      <c r="R8">
        <f>M8*'3. Intervention Details'!$H8</f>
        <v>0</v>
      </c>
      <c r="S8">
        <f>N8*'3. Intervention Details'!$H8</f>
        <v>0</v>
      </c>
      <c r="T8">
        <f>O8*'3. Intervention Details'!$H8</f>
        <v>0</v>
      </c>
      <c r="AA8" s="56" t="str">
        <f>IF('4. Policy Interactive Screen'!F17&lt;&gt;"",'4. Policy Interactive Screen'!F17,"")</f>
        <v/>
      </c>
      <c r="AB8" s="56" t="str">
        <f>IF('4. Policy Interactive Screen'!I17&lt;&gt;"",'4. Policy Interactive Screen'!I17,"")</f>
        <v/>
      </c>
      <c r="AC8" s="56" t="str">
        <f>IF('4. Policy Interactive Screen'!L17&lt;&gt;"",'4. Policy Interactive Screen'!L17,"")</f>
        <v/>
      </c>
      <c r="AD8" s="56" t="str">
        <f>IF('policy interact graph numbers'!AR17&lt;&gt;"",'policy interact graph numbers'!AR17,"")</f>
        <v>Binome</v>
      </c>
    </row>
    <row r="9" spans="1:30" ht="15" thickBot="1" x14ac:dyDescent="0.45">
      <c r="A9" s="113">
        <v>4</v>
      </c>
      <c r="B9" s="310" t="str">
        <f>IF(Coverage!$B9="","",Coverage!$B9)</f>
        <v/>
      </c>
      <c r="C9" s="34" t="str">
        <f t="shared" si="2"/>
        <v/>
      </c>
      <c r="D9" s="308" t="str">
        <f t="shared" si="3"/>
        <v/>
      </c>
      <c r="E9" s="308" t="str">
        <f t="shared" si="4"/>
        <v/>
      </c>
      <c r="F9" s="308" t="str">
        <f t="shared" si="5"/>
        <v/>
      </c>
      <c r="G9" s="308" t="str">
        <f t="shared" si="6"/>
        <v>Binome</v>
      </c>
      <c r="H9" s="34" t="str">
        <f t="shared" si="2"/>
        <v/>
      </c>
      <c r="I9" s="34" t="str">
        <f t="shared" si="2"/>
        <v/>
      </c>
      <c r="J9" s="34" t="str">
        <f t="shared" si="2"/>
        <v/>
      </c>
      <c r="K9" s="34" t="str">
        <f t="shared" si="2"/>
        <v/>
      </c>
      <c r="L9" s="202">
        <f>IFERROR(IF($I9="Urban",(VLOOKUP($K9,lookup_urban,L$1,FALSE)*$H9*Coverage!H9),IF($I9="Rural",(VLOOKUP($K9,lookup_rural,L$1,FALSE)*$H9*Coverage!G9),(VLOOKUP($K9,lookup_demography,L$1,FALSE)*$H9*Coverage!G9))),0)</f>
        <v>0</v>
      </c>
      <c r="M9" s="202">
        <f>IFERROR(IF($I9="Urban",(VLOOKUP($K9,lookup_urban,M$1,FALSE)*$H9*Coverage!I9),IF($I9="Rural",(VLOOKUP($K9,lookup_rural,M$1,FALSE)*$H9*Coverage!I9),(VLOOKUP($K9,lookup_demography,M$1,FALSE)*$H9*Coverage!I9))),0)</f>
        <v>0</v>
      </c>
      <c r="N9" s="202">
        <f>IFERROR(IF($I9="Urban",(VLOOKUP($K9,lookup_urban,N$1,FALSE)*$H9*Coverage!J9),IF($I9="Rural",(VLOOKUP($K9,lookup_rural,N$1,FALSE)*$H9*Coverage!J9),(VLOOKUP($K9,lookup_demography,N$1,FALSE)*$H9*Coverage!J9))),0)</f>
        <v>0</v>
      </c>
      <c r="O9" s="202">
        <f>IFERROR(IF($I9="Urban",(VLOOKUP($K9,lookup_urban,O$1,FALSE)*$H9*Coverage!K9),IF($I9="Rural",(VLOOKUP($K9,lookup_rural,O$1,FALSE)*$H9*Coverage!K9),(VLOOKUP($K9,lookup_demography,O$1,FALSE)*$H9*Coverage!K9))),0)</f>
        <v>0</v>
      </c>
      <c r="Q9">
        <f>L9*'3. Intervention Details'!$H9</f>
        <v>0</v>
      </c>
      <c r="R9">
        <f>M9*'3. Intervention Details'!$H9</f>
        <v>0</v>
      </c>
      <c r="S9">
        <f>N9*'3. Intervention Details'!$H9</f>
        <v>0</v>
      </c>
      <c r="T9">
        <f>O9*'3. Intervention Details'!$H9</f>
        <v>0</v>
      </c>
      <c r="AA9" s="56" t="str">
        <f>IF('4. Policy Interactive Screen'!F18&lt;&gt;"",'4. Policy Interactive Screen'!F18,"")</f>
        <v/>
      </c>
      <c r="AB9" s="56" t="str">
        <f>IF('4. Policy Interactive Screen'!I18&lt;&gt;"",'4. Policy Interactive Screen'!I18,"")</f>
        <v/>
      </c>
      <c r="AC9" s="56" t="str">
        <f>IF('4. Policy Interactive Screen'!L18&lt;&gt;"",'4. Policy Interactive Screen'!L18,"")</f>
        <v/>
      </c>
      <c r="AD9" s="56" t="str">
        <f>IF('policy interact graph numbers'!AR18&lt;&gt;"",'policy interact graph numbers'!AR18,"")</f>
        <v>Binome</v>
      </c>
    </row>
    <row r="10" spans="1:30" ht="15" thickBot="1" x14ac:dyDescent="0.45">
      <c r="A10" s="113">
        <v>5</v>
      </c>
      <c r="B10" s="310" t="str">
        <f>IF(Coverage!$B10="","",Coverage!$B10)</f>
        <v/>
      </c>
      <c r="C10" s="34" t="str">
        <f t="shared" si="2"/>
        <v/>
      </c>
      <c r="D10" s="308" t="str">
        <f t="shared" si="3"/>
        <v/>
      </c>
      <c r="E10" s="308" t="str">
        <f t="shared" si="4"/>
        <v/>
      </c>
      <c r="F10" s="308" t="str">
        <f t="shared" si="5"/>
        <v/>
      </c>
      <c r="G10" s="308" t="str">
        <f t="shared" si="6"/>
        <v>Binome</v>
      </c>
      <c r="H10" s="34" t="str">
        <f t="shared" si="2"/>
        <v/>
      </c>
      <c r="I10" s="34" t="str">
        <f t="shared" si="2"/>
        <v/>
      </c>
      <c r="J10" s="34" t="str">
        <f t="shared" si="2"/>
        <v/>
      </c>
      <c r="K10" s="34" t="str">
        <f t="shared" si="2"/>
        <v/>
      </c>
      <c r="L10" s="202">
        <f>IFERROR(IF($I10="Urban",(VLOOKUP($K10,lookup_urban,L$1,FALSE)*$H10*Coverage!H10),IF($I10="Rural",(VLOOKUP($K10,lookup_rural,L$1,FALSE)*$H10*Coverage!G10),(VLOOKUP($K10,lookup_demography,L$1,FALSE)*$H10*Coverage!G10))),0)</f>
        <v>0</v>
      </c>
      <c r="M10" s="202">
        <f>IFERROR(IF($I10="Urban",(VLOOKUP($K10,lookup_urban,M$1,FALSE)*$H10*Coverage!I10),IF($I10="Rural",(VLOOKUP($K10,lookup_rural,M$1,FALSE)*$H10*Coverage!I10),(VLOOKUP($K10,lookup_demography,M$1,FALSE)*$H10*Coverage!I10))),0)</f>
        <v>0</v>
      </c>
      <c r="N10" s="202">
        <f>IFERROR(IF($I10="Urban",(VLOOKUP($K10,lookup_urban,N$1,FALSE)*$H10*Coverage!J10),IF($I10="Rural",(VLOOKUP($K10,lookup_rural,N$1,FALSE)*$H10*Coverage!J10),(VLOOKUP($K10,lookup_demography,N$1,FALSE)*$H10*Coverage!J10))),0)</f>
        <v>0</v>
      </c>
      <c r="O10" s="202">
        <f>IFERROR(IF($I10="Urban",(VLOOKUP($K10,lookup_urban,O$1,FALSE)*$H10*Coverage!K10),IF($I10="Rural",(VLOOKUP($K10,lookup_rural,O$1,FALSE)*$H10*Coverage!K10),(VLOOKUP($K10,lookup_demography,O$1,FALSE)*$H10*Coverage!K10))),0)</f>
        <v>0</v>
      </c>
      <c r="Q10">
        <f>L10*'3. Intervention Details'!$H10</f>
        <v>0</v>
      </c>
      <c r="R10">
        <f>M10*'3. Intervention Details'!$H10</f>
        <v>0</v>
      </c>
      <c r="S10">
        <f>N10*'3. Intervention Details'!$H10</f>
        <v>0</v>
      </c>
      <c r="T10">
        <f>O10*'3. Intervention Details'!$H10</f>
        <v>0</v>
      </c>
      <c r="AA10" s="56" t="str">
        <f>IF('4. Policy Interactive Screen'!F19&lt;&gt;"",'4. Policy Interactive Screen'!F19,"")</f>
        <v/>
      </c>
      <c r="AB10" s="56" t="str">
        <f>IF('4. Policy Interactive Screen'!I19&lt;&gt;"",'4. Policy Interactive Screen'!I19,"")</f>
        <v/>
      </c>
      <c r="AC10" s="56" t="str">
        <f>IF('4. Policy Interactive Screen'!L19&lt;&gt;"",'4. Policy Interactive Screen'!L19,"")</f>
        <v/>
      </c>
      <c r="AD10" s="56" t="str">
        <f>IF('policy interact graph numbers'!AR19&lt;&gt;"",'policy interact graph numbers'!AR19,"")</f>
        <v>Binome</v>
      </c>
    </row>
    <row r="11" spans="1:30" ht="15" thickBot="1" x14ac:dyDescent="0.45">
      <c r="A11" s="113">
        <v>6</v>
      </c>
      <c r="B11" s="310" t="str">
        <f>IF(Coverage!$B11="","",Coverage!$B11)</f>
        <v/>
      </c>
      <c r="C11" s="34" t="str">
        <f t="shared" si="2"/>
        <v/>
      </c>
      <c r="D11" s="308" t="str">
        <f t="shared" si="3"/>
        <v/>
      </c>
      <c r="E11" s="308" t="str">
        <f t="shared" si="4"/>
        <v/>
      </c>
      <c r="F11" s="308" t="str">
        <f t="shared" si="5"/>
        <v/>
      </c>
      <c r="G11" s="308" t="str">
        <f t="shared" si="6"/>
        <v>ASM</v>
      </c>
      <c r="H11" s="34" t="str">
        <f t="shared" si="2"/>
        <v/>
      </c>
      <c r="I11" s="34" t="str">
        <f t="shared" si="2"/>
        <v/>
      </c>
      <c r="J11" s="34" t="str">
        <f t="shared" si="2"/>
        <v/>
      </c>
      <c r="K11" s="34" t="str">
        <f t="shared" si="2"/>
        <v/>
      </c>
      <c r="L11" s="202">
        <f>IFERROR(IF($I11="Urban",(VLOOKUP($K11,lookup_urban,L$1,FALSE)*$H11*Coverage!H11),IF($I11="Rural",(VLOOKUP($K11,lookup_rural,L$1,FALSE)*$H11*Coverage!G11),(VLOOKUP($K11,lookup_demography,L$1,FALSE)*$H11*Coverage!G11))),0)</f>
        <v>0</v>
      </c>
      <c r="M11" s="202">
        <f>IFERROR(IF($I11="Urban",(VLOOKUP($K11,lookup_urban,M$1,FALSE)*$H11*Coverage!I11),IF($I11="Rural",(VLOOKUP($K11,lookup_rural,M$1,FALSE)*$H11*Coverage!I11),(VLOOKUP($K11,lookup_demography,M$1,FALSE)*$H11*Coverage!I11))),0)</f>
        <v>0</v>
      </c>
      <c r="N11" s="202">
        <f>IFERROR(IF($I11="Urban",(VLOOKUP($K11,lookup_urban,N$1,FALSE)*$H11*Coverage!J11),IF($I11="Rural",(VLOOKUP($K11,lookup_rural,N$1,FALSE)*$H11*Coverage!J11),(VLOOKUP($K11,lookup_demography,N$1,FALSE)*$H11*Coverage!J11))),0)</f>
        <v>0</v>
      </c>
      <c r="O11" s="202">
        <f>IFERROR(IF($I11="Urban",(VLOOKUP($K11,lookup_urban,O$1,FALSE)*$H11*Coverage!K11),IF($I11="Rural",(VLOOKUP($K11,lookup_rural,O$1,FALSE)*$H11*Coverage!K11),(VLOOKUP($K11,lookup_demography,O$1,FALSE)*$H11*Coverage!K11))),0)</f>
        <v>0</v>
      </c>
      <c r="Q11">
        <f>L11*'3. Intervention Details'!$H11</f>
        <v>0</v>
      </c>
      <c r="R11">
        <f>M11*'3. Intervention Details'!$H11</f>
        <v>0</v>
      </c>
      <c r="S11">
        <f>N11*'3. Intervention Details'!$H11</f>
        <v>0</v>
      </c>
      <c r="T11">
        <f>O11*'3. Intervention Details'!$H11</f>
        <v>0</v>
      </c>
      <c r="AA11" s="56" t="str">
        <f>IF('4. Policy Interactive Screen'!F20&lt;&gt;"",'4. Policy Interactive Screen'!F20,"")</f>
        <v/>
      </c>
      <c r="AB11" s="56" t="str">
        <f>IF('4. Policy Interactive Screen'!I20&lt;&gt;"",'4. Policy Interactive Screen'!I20,"")</f>
        <v/>
      </c>
      <c r="AC11" s="56" t="str">
        <f>IF('4. Policy Interactive Screen'!L20&lt;&gt;"",'4. Policy Interactive Screen'!L20,"")</f>
        <v/>
      </c>
      <c r="AD11" s="56" t="str">
        <f>IF('policy interact graph numbers'!AR20&lt;&gt;"",'policy interact graph numbers'!AR20,"")</f>
        <v>ASM</v>
      </c>
    </row>
    <row r="12" spans="1:30" ht="15" thickBot="1" x14ac:dyDescent="0.45">
      <c r="A12" s="113">
        <v>7</v>
      </c>
      <c r="B12" s="310" t="str">
        <f>IF(Coverage!$B12="","",Coverage!$B12)</f>
        <v/>
      </c>
      <c r="C12" s="34" t="str">
        <f t="shared" si="2"/>
        <v/>
      </c>
      <c r="D12" s="308" t="str">
        <f t="shared" si="3"/>
        <v/>
      </c>
      <c r="E12" s="308" t="str">
        <f t="shared" si="4"/>
        <v/>
      </c>
      <c r="F12" s="308" t="str">
        <f t="shared" si="5"/>
        <v/>
      </c>
      <c r="G12" s="308" t="str">
        <f t="shared" si="6"/>
        <v>Binome</v>
      </c>
      <c r="H12" s="34" t="str">
        <f t="shared" si="2"/>
        <v/>
      </c>
      <c r="I12" s="34" t="str">
        <f t="shared" si="2"/>
        <v/>
      </c>
      <c r="J12" s="34" t="str">
        <f t="shared" si="2"/>
        <v/>
      </c>
      <c r="K12" s="34" t="str">
        <f t="shared" si="2"/>
        <v/>
      </c>
      <c r="L12" s="202">
        <f>IFERROR(IF($I12="Urban",(VLOOKUP($K12,lookup_urban,L$1,FALSE)*$H12*Coverage!H12),IF($I12="Rural",(VLOOKUP($K12,lookup_rural,L$1,FALSE)*$H12*Coverage!G12),(VLOOKUP($K12,lookup_demography,L$1,FALSE)*$H12*Coverage!G12))),0)</f>
        <v>0</v>
      </c>
      <c r="M12" s="202">
        <f>IFERROR(IF($I12="Urban",(VLOOKUP($K12,lookup_urban,M$1,FALSE)*$H12*Coverage!I12),IF($I12="Rural",(VLOOKUP($K12,lookup_rural,M$1,FALSE)*$H12*Coverage!I12),(VLOOKUP($K12,lookup_demography,M$1,FALSE)*$H12*Coverage!I12))),0)</f>
        <v>0</v>
      </c>
      <c r="N12" s="202">
        <f>IFERROR(IF($I12="Urban",(VLOOKUP($K12,lookup_urban,N$1,FALSE)*$H12*Coverage!J12),IF($I12="Rural",(VLOOKUP($K12,lookup_rural,N$1,FALSE)*$H12*Coverage!J12),(VLOOKUP($K12,lookup_demography,N$1,FALSE)*$H12*Coverage!J12))),0)</f>
        <v>0</v>
      </c>
      <c r="O12" s="202">
        <f>IFERROR(IF($I12="Urban",(VLOOKUP($K12,lookup_urban,O$1,FALSE)*$H12*Coverage!K12),IF($I12="Rural",(VLOOKUP($K12,lookup_rural,O$1,FALSE)*$H12*Coverage!K12),(VLOOKUP($K12,lookup_demography,O$1,FALSE)*$H12*Coverage!K12))),0)</f>
        <v>0</v>
      </c>
      <c r="Q12">
        <f>L12*'3. Intervention Details'!$H12</f>
        <v>0</v>
      </c>
      <c r="R12">
        <f>M12*'3. Intervention Details'!$H12</f>
        <v>0</v>
      </c>
      <c r="S12">
        <f>N12*'3. Intervention Details'!$H12</f>
        <v>0</v>
      </c>
      <c r="T12">
        <f>O12*'3. Intervention Details'!$H12</f>
        <v>0</v>
      </c>
      <c r="AA12" s="56" t="str">
        <f>IF('4. Policy Interactive Screen'!F21&lt;&gt;"",'4. Policy Interactive Screen'!F21,"")</f>
        <v/>
      </c>
      <c r="AB12" s="56" t="str">
        <f>IF('4. Policy Interactive Screen'!I21&lt;&gt;"",'4. Policy Interactive Screen'!I21,"")</f>
        <v/>
      </c>
      <c r="AC12" s="56" t="str">
        <f>IF('4. Policy Interactive Screen'!L21&lt;&gt;"",'4. Policy Interactive Screen'!L21,"")</f>
        <v/>
      </c>
      <c r="AD12" s="56" t="str">
        <f>IF('policy interact graph numbers'!AR21&lt;&gt;"",'policy interact graph numbers'!AR21,"")</f>
        <v>Binome</v>
      </c>
    </row>
    <row r="13" spans="1:30" ht="15" thickBot="1" x14ac:dyDescent="0.45">
      <c r="A13" s="113">
        <v>8</v>
      </c>
      <c r="B13" s="310" t="str">
        <f>IF(Coverage!$B13="","",Coverage!$B13)</f>
        <v/>
      </c>
      <c r="C13" s="34" t="str">
        <f t="shared" si="2"/>
        <v/>
      </c>
      <c r="D13" s="308" t="str">
        <f t="shared" si="3"/>
        <v/>
      </c>
      <c r="E13" s="308" t="str">
        <f t="shared" si="4"/>
        <v/>
      </c>
      <c r="F13" s="308" t="str">
        <f t="shared" si="5"/>
        <v/>
      </c>
      <c r="G13" s="308" t="str">
        <f t="shared" si="6"/>
        <v>ASM</v>
      </c>
      <c r="H13" s="34" t="str">
        <f t="shared" si="2"/>
        <v/>
      </c>
      <c r="I13" s="34" t="str">
        <f t="shared" si="2"/>
        <v/>
      </c>
      <c r="J13" s="34" t="str">
        <f t="shared" si="2"/>
        <v/>
      </c>
      <c r="K13" s="34" t="str">
        <f t="shared" si="2"/>
        <v/>
      </c>
      <c r="L13" s="202">
        <f>IFERROR(IF($I13="Urban",(VLOOKUP($K13,lookup_urban,L$1,FALSE)*$H13*Coverage!H13),IF($I13="Rural",(VLOOKUP($K13,lookup_rural,L$1,FALSE)*$H13*Coverage!G13),(VLOOKUP($K13,lookup_demography,L$1,FALSE)*$H13*Coverage!G13))),0)</f>
        <v>0</v>
      </c>
      <c r="M13" s="202">
        <f>IFERROR(IF($I13="Urban",(VLOOKUP($K13,lookup_urban,M$1,FALSE)*$H13*Coverage!I13),IF($I13="Rural",(VLOOKUP($K13,lookup_rural,M$1,FALSE)*$H13*Coverage!I13),(VLOOKUP($K13,lookup_demography,M$1,FALSE)*$H13*Coverage!I13))),0)</f>
        <v>0</v>
      </c>
      <c r="N13" s="202">
        <f>IFERROR(IF($I13="Urban",(VLOOKUP($K13,lookup_urban,N$1,FALSE)*$H13*Coverage!J13),IF($I13="Rural",(VLOOKUP($K13,lookup_rural,N$1,FALSE)*$H13*Coverage!J13),(VLOOKUP($K13,lookup_demography,N$1,FALSE)*$H13*Coverage!J13))),0)</f>
        <v>0</v>
      </c>
      <c r="O13" s="202">
        <f>IFERROR(IF($I13="Urban",(VLOOKUP($K13,lookup_urban,O$1,FALSE)*$H13*Coverage!K13),IF($I13="Rural",(VLOOKUP($K13,lookup_rural,O$1,FALSE)*$H13*Coverage!K13),(VLOOKUP($K13,lookup_demography,O$1,FALSE)*$H13*Coverage!K13))),0)</f>
        <v>0</v>
      </c>
      <c r="Q13">
        <f>L13*'3. Intervention Details'!$H13</f>
        <v>0</v>
      </c>
      <c r="R13">
        <f>M13*'3. Intervention Details'!$H13</f>
        <v>0</v>
      </c>
      <c r="S13">
        <f>N13*'3. Intervention Details'!$H13</f>
        <v>0</v>
      </c>
      <c r="T13">
        <f>O13*'3. Intervention Details'!$H13</f>
        <v>0</v>
      </c>
      <c r="AA13" s="56" t="str">
        <f>IF('4. Policy Interactive Screen'!F22&lt;&gt;"",'4. Policy Interactive Screen'!F22,"")</f>
        <v/>
      </c>
      <c r="AB13" s="56" t="str">
        <f>IF('4. Policy Interactive Screen'!I22&lt;&gt;"",'4. Policy Interactive Screen'!I22,"")</f>
        <v/>
      </c>
      <c r="AC13" s="56" t="str">
        <f>IF('4. Policy Interactive Screen'!L22&lt;&gt;"",'4. Policy Interactive Screen'!L22,"")</f>
        <v/>
      </c>
      <c r="AD13" s="56" t="str">
        <f>IF('policy interact graph numbers'!AR22&lt;&gt;"",'policy interact graph numbers'!AR22,"")</f>
        <v>ASM</v>
      </c>
    </row>
    <row r="14" spans="1:30" ht="15" thickBot="1" x14ac:dyDescent="0.45">
      <c r="A14" s="113">
        <v>9</v>
      </c>
      <c r="B14" s="310" t="str">
        <f>IF(Coverage!$B14="","",Coverage!$B14)</f>
        <v/>
      </c>
      <c r="C14" s="34" t="str">
        <f t="shared" si="2"/>
        <v/>
      </c>
      <c r="D14" s="308" t="str">
        <f t="shared" si="3"/>
        <v/>
      </c>
      <c r="E14" s="308" t="str">
        <f t="shared" si="4"/>
        <v/>
      </c>
      <c r="F14" s="308" t="str">
        <f t="shared" si="5"/>
        <v/>
      </c>
      <c r="G14" s="308" t="str">
        <f t="shared" si="6"/>
        <v>ASM</v>
      </c>
      <c r="H14" s="34" t="str">
        <f t="shared" si="2"/>
        <v/>
      </c>
      <c r="I14" s="34" t="str">
        <f t="shared" si="2"/>
        <v/>
      </c>
      <c r="J14" s="34" t="str">
        <f t="shared" si="2"/>
        <v/>
      </c>
      <c r="K14" s="34" t="str">
        <f t="shared" si="2"/>
        <v/>
      </c>
      <c r="L14" s="202">
        <f>IFERROR(IF($I14="Urban",(VLOOKUP($K14,lookup_urban,L$1,FALSE)*$H14*Coverage!H14),IF($I14="Rural",(VLOOKUP($K14,lookup_rural,L$1,FALSE)*$H14*Coverage!G14),(VLOOKUP($K14,lookup_demography,L$1,FALSE)*$H14*Coverage!G14))),0)</f>
        <v>0</v>
      </c>
      <c r="M14" s="202">
        <f>IFERROR(IF($I14="Urban",(VLOOKUP($K14,lookup_urban,M$1,FALSE)*$H14*Coverage!I14),IF($I14="Rural",(VLOOKUP($K14,lookup_rural,M$1,FALSE)*$H14*Coverage!I14),(VLOOKUP($K14,lookup_demography,M$1,FALSE)*$H14*Coverage!I14))),0)</f>
        <v>0</v>
      </c>
      <c r="N14" s="202">
        <f>IFERROR(IF($I14="Urban",(VLOOKUP($K14,lookup_urban,N$1,FALSE)*$H14*Coverage!J14),IF($I14="Rural",(VLOOKUP($K14,lookup_rural,N$1,FALSE)*$H14*Coverage!J14),(VLOOKUP($K14,lookup_demography,N$1,FALSE)*$H14*Coverage!J14))),0)</f>
        <v>0</v>
      </c>
      <c r="O14" s="202">
        <f>IFERROR(IF($I14="Urban",(VLOOKUP($K14,lookup_urban,O$1,FALSE)*$H14*Coverage!K14),IF($I14="Rural",(VLOOKUP($K14,lookup_rural,O$1,FALSE)*$H14*Coverage!K14),(VLOOKUP($K14,lookup_demography,O$1,FALSE)*$H14*Coverage!K14))),0)</f>
        <v>0</v>
      </c>
      <c r="Q14">
        <f>L14*'3. Intervention Details'!$H14</f>
        <v>0</v>
      </c>
      <c r="R14">
        <f>M14*'3. Intervention Details'!$H14</f>
        <v>0</v>
      </c>
      <c r="S14">
        <f>N14*'3. Intervention Details'!$H14</f>
        <v>0</v>
      </c>
      <c r="T14">
        <f>O14*'3. Intervention Details'!$H14</f>
        <v>0</v>
      </c>
      <c r="AA14" s="56" t="str">
        <f>IF('4. Policy Interactive Screen'!F23&lt;&gt;"",'4. Policy Interactive Screen'!F23,"")</f>
        <v/>
      </c>
      <c r="AB14" s="56" t="str">
        <f>IF('4. Policy Interactive Screen'!I23&lt;&gt;"",'4. Policy Interactive Screen'!I23,"")</f>
        <v/>
      </c>
      <c r="AC14" s="56" t="str">
        <f>IF('4. Policy Interactive Screen'!L23&lt;&gt;"",'4. Policy Interactive Screen'!L23,"")</f>
        <v/>
      </c>
      <c r="AD14" s="56" t="str">
        <f>IF('policy interact graph numbers'!AR23&lt;&gt;"",'policy interact graph numbers'!AR23,"")</f>
        <v>ASM</v>
      </c>
    </row>
    <row r="15" spans="1:30" ht="15" thickBot="1" x14ac:dyDescent="0.45">
      <c r="A15" s="113">
        <v>10</v>
      </c>
      <c r="B15" s="310" t="str">
        <f>IF(Coverage!$B15="","",Coverage!$B15)</f>
        <v/>
      </c>
      <c r="C15" s="34" t="str">
        <f t="shared" si="2"/>
        <v/>
      </c>
      <c r="D15" s="308" t="str">
        <f t="shared" si="3"/>
        <v/>
      </c>
      <c r="E15" s="308" t="str">
        <f t="shared" si="4"/>
        <v/>
      </c>
      <c r="F15" s="308" t="str">
        <f t="shared" si="5"/>
        <v/>
      </c>
      <c r="G15" s="308" t="str">
        <f t="shared" si="6"/>
        <v>ASM</v>
      </c>
      <c r="H15" s="34" t="str">
        <f t="shared" si="2"/>
        <v/>
      </c>
      <c r="I15" s="34" t="str">
        <f t="shared" si="2"/>
        <v/>
      </c>
      <c r="J15" s="34" t="str">
        <f t="shared" si="2"/>
        <v/>
      </c>
      <c r="K15" s="34" t="str">
        <f t="shared" si="2"/>
        <v/>
      </c>
      <c r="L15" s="202">
        <f>IFERROR(IF($I15="Urban",(VLOOKUP($K15,lookup_urban,L$1,FALSE)*$H15*Coverage!H15),IF($I15="Rural",(VLOOKUP($K15,lookup_rural,L$1,FALSE)*$H15*Coverage!G15),(VLOOKUP($K15,lookup_demography,L$1,FALSE)*$H15*Coverage!G15))),0)</f>
        <v>0</v>
      </c>
      <c r="M15" s="202">
        <f>IFERROR(IF($I15="Urban",(VLOOKUP($K15,lookup_urban,M$1,FALSE)*$H15*Coverage!I15),IF($I15="Rural",(VLOOKUP($K15,lookup_rural,M$1,FALSE)*$H15*Coverage!I15),(VLOOKUP($K15,lookup_demography,M$1,FALSE)*$H15*Coverage!I15))),0)</f>
        <v>0</v>
      </c>
      <c r="N15" s="202">
        <f>IFERROR(IF($I15="Urban",(VLOOKUP($K15,lookup_urban,N$1,FALSE)*$H15*Coverage!J15),IF($I15="Rural",(VLOOKUP($K15,lookup_rural,N$1,FALSE)*$H15*Coverage!J15),(VLOOKUP($K15,lookup_demography,N$1,FALSE)*$H15*Coverage!J15))),0)</f>
        <v>0</v>
      </c>
      <c r="O15" s="202">
        <f>IFERROR(IF($I15="Urban",(VLOOKUP($K15,lookup_urban,O$1,FALSE)*$H15*Coverage!K15),IF($I15="Rural",(VLOOKUP($K15,lookup_rural,O$1,FALSE)*$H15*Coverage!K15),(VLOOKUP($K15,lookup_demography,O$1,FALSE)*$H15*Coverage!K15))),0)</f>
        <v>0</v>
      </c>
      <c r="Q15">
        <f>L15*'3. Intervention Details'!$H15</f>
        <v>0</v>
      </c>
      <c r="R15">
        <f>M15*'3. Intervention Details'!$H15</f>
        <v>0</v>
      </c>
      <c r="S15">
        <f>N15*'3. Intervention Details'!$H15</f>
        <v>0</v>
      </c>
      <c r="T15">
        <f>O15*'3. Intervention Details'!$H15</f>
        <v>0</v>
      </c>
      <c r="AA15" s="56" t="str">
        <f>IF('4. Policy Interactive Screen'!F24&lt;&gt;"",'4. Policy Interactive Screen'!F24,"")</f>
        <v/>
      </c>
      <c r="AB15" s="56" t="str">
        <f>IF('4. Policy Interactive Screen'!I24&lt;&gt;"",'4. Policy Interactive Screen'!I24,"")</f>
        <v/>
      </c>
      <c r="AC15" s="56" t="str">
        <f>IF('4. Policy Interactive Screen'!L24&lt;&gt;"",'4. Policy Interactive Screen'!L24,"")</f>
        <v/>
      </c>
      <c r="AD15" s="56" t="str">
        <f>IF('policy interact graph numbers'!AR24&lt;&gt;"",'policy interact graph numbers'!AR24,"")</f>
        <v>ASM</v>
      </c>
    </row>
    <row r="16" spans="1:30" ht="15" thickBot="1" x14ac:dyDescent="0.45">
      <c r="A16" s="113">
        <v>11</v>
      </c>
      <c r="B16" s="310" t="str">
        <f>IF(Coverage!$B16="","",Coverage!$B16)</f>
        <v/>
      </c>
      <c r="C16" s="34" t="str">
        <f t="shared" ref="C16:K31" si="7">IFERROR((VLOOKUP($B16,lookup_masterlist,C$1,FALSE)),"")</f>
        <v/>
      </c>
      <c r="D16" s="308" t="str">
        <f t="shared" si="3"/>
        <v/>
      </c>
      <c r="E16" s="308" t="str">
        <f t="shared" si="4"/>
        <v/>
      </c>
      <c r="F16" s="308" t="str">
        <f t="shared" si="5"/>
        <v/>
      </c>
      <c r="G16" s="308" t="str">
        <f t="shared" si="6"/>
        <v>ASM</v>
      </c>
      <c r="H16" s="34" t="str">
        <f t="shared" si="7"/>
        <v/>
      </c>
      <c r="I16" s="34" t="str">
        <f t="shared" si="2"/>
        <v/>
      </c>
      <c r="J16" s="34" t="str">
        <f t="shared" si="7"/>
        <v/>
      </c>
      <c r="K16" s="34" t="str">
        <f t="shared" si="7"/>
        <v/>
      </c>
      <c r="L16" s="202">
        <f>IFERROR(IF($I16="Urban",(VLOOKUP($K16,lookup_urban,L$1,FALSE)*$H16*Coverage!H16),IF($I16="Rural",(VLOOKUP($K16,lookup_rural,L$1,FALSE)*$H16*Coverage!G16),(VLOOKUP($K16,lookup_demography,L$1,FALSE)*$H16*Coverage!G16))),0)</f>
        <v>0</v>
      </c>
      <c r="M16" s="202">
        <f>IFERROR(IF($I16="Urban",(VLOOKUP($K16,lookup_urban,M$1,FALSE)*$H16*Coverage!I16),IF($I16="Rural",(VLOOKUP($K16,lookup_rural,M$1,FALSE)*$H16*Coverage!I16),(VLOOKUP($K16,lookup_demography,M$1,FALSE)*$H16*Coverage!I16))),0)</f>
        <v>0</v>
      </c>
      <c r="N16" s="202">
        <f>IFERROR(IF($I16="Urban",(VLOOKUP($K16,lookup_urban,N$1,FALSE)*$H16*Coverage!J16),IF($I16="Rural",(VLOOKUP($K16,lookup_rural,N$1,FALSE)*$H16*Coverage!J16),(VLOOKUP($K16,lookup_demography,N$1,FALSE)*$H16*Coverage!J16))),0)</f>
        <v>0</v>
      </c>
      <c r="O16" s="202">
        <f>IFERROR(IF($I16="Urban",(VLOOKUP($K16,lookup_urban,O$1,FALSE)*$H16*Coverage!K16),IF($I16="Rural",(VLOOKUP($K16,lookup_rural,O$1,FALSE)*$H16*Coverage!K16),(VLOOKUP($K16,lookup_demography,O$1,FALSE)*$H16*Coverage!K16))),0)</f>
        <v>0</v>
      </c>
      <c r="Q16">
        <f>L16*'3. Intervention Details'!$H16</f>
        <v>0</v>
      </c>
      <c r="R16">
        <f>M16*'3. Intervention Details'!$H16</f>
        <v>0</v>
      </c>
      <c r="S16">
        <f>N16*'3. Intervention Details'!$H16</f>
        <v>0</v>
      </c>
      <c r="T16">
        <f>O16*'3. Intervention Details'!$H16</f>
        <v>0</v>
      </c>
      <c r="AA16" s="56" t="str">
        <f>IF('4. Policy Interactive Screen'!F25&lt;&gt;"",'4. Policy Interactive Screen'!F25,"")</f>
        <v/>
      </c>
      <c r="AB16" s="56" t="str">
        <f>IF('4. Policy Interactive Screen'!I25&lt;&gt;"",'4. Policy Interactive Screen'!I25,"")</f>
        <v/>
      </c>
      <c r="AC16" s="56" t="str">
        <f>IF('4. Policy Interactive Screen'!L25&lt;&gt;"",'4. Policy Interactive Screen'!L25,"")</f>
        <v/>
      </c>
      <c r="AD16" s="56" t="str">
        <f>IF('policy interact graph numbers'!AR25&lt;&gt;"",'policy interact graph numbers'!AR25,"")</f>
        <v>ASM</v>
      </c>
    </row>
    <row r="17" spans="1:30" ht="15" thickBot="1" x14ac:dyDescent="0.45">
      <c r="A17" s="113">
        <v>12</v>
      </c>
      <c r="B17" s="310" t="str">
        <f>IF(Coverage!$B17="","",Coverage!$B17)</f>
        <v/>
      </c>
      <c r="C17" s="34" t="str">
        <f t="shared" si="7"/>
        <v/>
      </c>
      <c r="D17" s="308" t="str">
        <f t="shared" si="3"/>
        <v/>
      </c>
      <c r="E17" s="308" t="str">
        <f t="shared" si="4"/>
        <v/>
      </c>
      <c r="F17" s="308" t="str">
        <f t="shared" si="5"/>
        <v/>
      </c>
      <c r="G17" s="308" t="str">
        <f t="shared" si="6"/>
        <v>ASM</v>
      </c>
      <c r="H17" s="34" t="str">
        <f t="shared" si="7"/>
        <v/>
      </c>
      <c r="I17" s="34" t="str">
        <f t="shared" si="2"/>
        <v/>
      </c>
      <c r="J17" s="34" t="str">
        <f t="shared" si="7"/>
        <v/>
      </c>
      <c r="K17" s="34" t="str">
        <f t="shared" si="7"/>
        <v/>
      </c>
      <c r="L17" s="202">
        <f>IFERROR(IF($I17="Urban",(VLOOKUP($K17,lookup_urban,L$1,FALSE)*$H17*Coverage!H17),IF($I17="Rural",(VLOOKUP($K17,lookup_rural,L$1,FALSE)*$H17*Coverage!G17),(VLOOKUP($K17,lookup_demography,L$1,FALSE)*$H17*Coverage!G17))),0)</f>
        <v>0</v>
      </c>
      <c r="M17" s="202">
        <f>IFERROR(IF($I17="Urban",(VLOOKUP($K17,lookup_urban,M$1,FALSE)*$H17*Coverage!I17),IF($I17="Rural",(VLOOKUP($K17,lookup_rural,M$1,FALSE)*$H17*Coverage!I17),(VLOOKUP($K17,lookup_demography,M$1,FALSE)*$H17*Coverage!I17))),0)</f>
        <v>0</v>
      </c>
      <c r="N17" s="202">
        <f>IFERROR(IF($I17="Urban",(VLOOKUP($K17,lookup_urban,N$1,FALSE)*$H17*Coverage!J17),IF($I17="Rural",(VLOOKUP($K17,lookup_rural,N$1,FALSE)*$H17*Coverage!J17),(VLOOKUP($K17,lookup_demography,N$1,FALSE)*$H17*Coverage!J17))),0)</f>
        <v>0</v>
      </c>
      <c r="O17" s="202">
        <f>IFERROR(IF($I17="Urban",(VLOOKUP($K17,lookup_urban,O$1,FALSE)*$H17*Coverage!K17),IF($I17="Rural",(VLOOKUP($K17,lookup_rural,O$1,FALSE)*$H17*Coverage!K17),(VLOOKUP($K17,lookup_demography,O$1,FALSE)*$H17*Coverage!K17))),0)</f>
        <v>0</v>
      </c>
      <c r="Q17">
        <f>L17*'3. Intervention Details'!$H17</f>
        <v>0</v>
      </c>
      <c r="R17">
        <f>M17*'3. Intervention Details'!$H17</f>
        <v>0</v>
      </c>
      <c r="S17">
        <f>N17*'3. Intervention Details'!$H17</f>
        <v>0</v>
      </c>
      <c r="T17">
        <f>O17*'3. Intervention Details'!$H17</f>
        <v>0</v>
      </c>
      <c r="AA17" s="56" t="str">
        <f>IF('4. Policy Interactive Screen'!F26&lt;&gt;"",'4. Policy Interactive Screen'!F26,"")</f>
        <v/>
      </c>
      <c r="AB17" s="56" t="str">
        <f>IF('4. Policy Interactive Screen'!I26&lt;&gt;"",'4. Policy Interactive Screen'!I26,"")</f>
        <v/>
      </c>
      <c r="AC17" s="56" t="str">
        <f>IF('4. Policy Interactive Screen'!L26&lt;&gt;"",'4. Policy Interactive Screen'!L26,"")</f>
        <v/>
      </c>
      <c r="AD17" s="56" t="str">
        <f>IF('policy interact graph numbers'!AR26&lt;&gt;"",'policy interact graph numbers'!AR26,"")</f>
        <v>ASM</v>
      </c>
    </row>
    <row r="18" spans="1:30" ht="15" thickBot="1" x14ac:dyDescent="0.45">
      <c r="A18" s="113">
        <v>13</v>
      </c>
      <c r="B18" s="310" t="str">
        <f>IF(Coverage!$B18="","",Coverage!$B18)</f>
        <v/>
      </c>
      <c r="C18" s="34" t="str">
        <f t="shared" si="7"/>
        <v/>
      </c>
      <c r="D18" s="308" t="str">
        <f t="shared" si="3"/>
        <v/>
      </c>
      <c r="E18" s="308" t="str">
        <f t="shared" si="4"/>
        <v/>
      </c>
      <c r="F18" s="308" t="str">
        <f t="shared" si="5"/>
        <v/>
      </c>
      <c r="G18" s="308" t="str">
        <f t="shared" si="6"/>
        <v>ASM</v>
      </c>
      <c r="H18" s="34" t="str">
        <f t="shared" si="7"/>
        <v/>
      </c>
      <c r="I18" s="34" t="str">
        <f t="shared" si="2"/>
        <v/>
      </c>
      <c r="J18" s="34" t="str">
        <f t="shared" si="7"/>
        <v/>
      </c>
      <c r="K18" s="34" t="str">
        <f t="shared" si="7"/>
        <v/>
      </c>
      <c r="L18" s="202">
        <f>IFERROR(IF($I18="Urban",(VLOOKUP($K18,lookup_urban,L$1,FALSE)*$H18*Coverage!H18),IF($I18="Rural",(VLOOKUP($K18,lookup_rural,L$1,FALSE)*$H18*Coverage!G18),(VLOOKUP($K18,lookup_demography,L$1,FALSE)*$H18*Coverage!G18))),0)</f>
        <v>0</v>
      </c>
      <c r="M18" s="202">
        <f>IFERROR(IF($I18="Urban",(VLOOKUP($K18,lookup_urban,M$1,FALSE)*$H18*Coverage!I18),IF($I18="Rural",(VLOOKUP($K18,lookup_rural,M$1,FALSE)*$H18*Coverage!I18),(VLOOKUP($K18,lookup_demography,M$1,FALSE)*$H18*Coverage!I18))),0)</f>
        <v>0</v>
      </c>
      <c r="N18" s="202">
        <f>IFERROR(IF($I18="Urban",(VLOOKUP($K18,lookup_urban,N$1,FALSE)*$H18*Coverage!J18),IF($I18="Rural",(VLOOKUP($K18,lookup_rural,N$1,FALSE)*$H18*Coverage!J18),(VLOOKUP($K18,lookup_demography,N$1,FALSE)*$H18*Coverage!J18))),0)</f>
        <v>0</v>
      </c>
      <c r="O18" s="202">
        <f>IFERROR(IF($I18="Urban",(VLOOKUP($K18,lookup_urban,O$1,FALSE)*$H18*Coverage!K18),IF($I18="Rural",(VLOOKUP($K18,lookup_rural,O$1,FALSE)*$H18*Coverage!K18),(VLOOKUP($K18,lookup_demography,O$1,FALSE)*$H18*Coverage!K18))),0)</f>
        <v>0</v>
      </c>
      <c r="Q18">
        <f>L18*'3. Intervention Details'!$H18</f>
        <v>0</v>
      </c>
      <c r="R18">
        <f>M18*'3. Intervention Details'!$H18</f>
        <v>0</v>
      </c>
      <c r="S18">
        <f>N18*'3. Intervention Details'!$H18</f>
        <v>0</v>
      </c>
      <c r="T18">
        <f>O18*'3. Intervention Details'!$H18</f>
        <v>0</v>
      </c>
      <c r="AA18" s="56" t="str">
        <f>IF('4. Policy Interactive Screen'!F27&lt;&gt;"",'4. Policy Interactive Screen'!F27,"")</f>
        <v/>
      </c>
      <c r="AB18" s="56" t="str">
        <f>IF('4. Policy Interactive Screen'!I27&lt;&gt;"",'4. Policy Interactive Screen'!I27,"")</f>
        <v/>
      </c>
      <c r="AC18" s="56" t="str">
        <f>IF('4. Policy Interactive Screen'!L27&lt;&gt;"",'4. Policy Interactive Screen'!L27,"")</f>
        <v/>
      </c>
      <c r="AD18" s="56" t="str">
        <f>IF('policy interact graph numbers'!AR27&lt;&gt;"",'policy interact graph numbers'!AR27,"")</f>
        <v>ASM</v>
      </c>
    </row>
    <row r="19" spans="1:30" ht="15" thickBot="1" x14ac:dyDescent="0.45">
      <c r="A19" s="113">
        <v>14</v>
      </c>
      <c r="B19" s="310" t="str">
        <f>IF(Coverage!$B19="","",Coverage!$B19)</f>
        <v/>
      </c>
      <c r="C19" s="34" t="str">
        <f t="shared" si="7"/>
        <v/>
      </c>
      <c r="D19" s="308" t="str">
        <f t="shared" si="3"/>
        <v/>
      </c>
      <c r="E19" s="308" t="str">
        <f t="shared" si="4"/>
        <v/>
      </c>
      <c r="F19" s="308" t="str">
        <f t="shared" si="5"/>
        <v/>
      </c>
      <c r="G19" s="308" t="str">
        <f t="shared" si="6"/>
        <v>ASM</v>
      </c>
      <c r="H19" s="34" t="str">
        <f t="shared" si="7"/>
        <v/>
      </c>
      <c r="I19" s="34" t="str">
        <f t="shared" si="2"/>
        <v/>
      </c>
      <c r="J19" s="34" t="str">
        <f t="shared" si="7"/>
        <v/>
      </c>
      <c r="K19" s="34" t="str">
        <f t="shared" si="7"/>
        <v/>
      </c>
      <c r="L19" s="202">
        <f>IFERROR(IF($I19="Urban",(VLOOKUP($K19,lookup_urban,L$1,FALSE)*$H19*Coverage!H19),IF($I19="Rural",(VLOOKUP($K19,lookup_rural,L$1,FALSE)*$H19*Coverage!G19),(VLOOKUP($K19,lookup_demography,L$1,FALSE)*$H19*Coverage!G19))),0)</f>
        <v>0</v>
      </c>
      <c r="M19" s="202">
        <f>IFERROR(IF($I19="Urban",(VLOOKUP($K19,lookup_urban,M$1,FALSE)*$H19*Coverage!I19),IF($I19="Rural",(VLOOKUP($K19,lookup_rural,M$1,FALSE)*$H19*Coverage!I19),(VLOOKUP($K19,lookup_demography,M$1,FALSE)*$H19*Coverage!I19))),0)</f>
        <v>0</v>
      </c>
      <c r="N19" s="202">
        <f>IFERROR(IF($I19="Urban",(VLOOKUP($K19,lookup_urban,N$1,FALSE)*$H19*Coverage!J19),IF($I19="Rural",(VLOOKUP($K19,lookup_rural,N$1,FALSE)*$H19*Coverage!J19),(VLOOKUP($K19,lookup_demography,N$1,FALSE)*$H19*Coverage!J19))),0)</f>
        <v>0</v>
      </c>
      <c r="O19" s="202">
        <f>IFERROR(IF($I19="Urban",(VLOOKUP($K19,lookup_urban,O$1,FALSE)*$H19*Coverage!K19),IF($I19="Rural",(VLOOKUP($K19,lookup_rural,O$1,FALSE)*$H19*Coverage!K19),(VLOOKUP($K19,lookup_demography,O$1,FALSE)*$H19*Coverage!K19))),0)</f>
        <v>0</v>
      </c>
      <c r="Q19">
        <f>L19*'3. Intervention Details'!$H19</f>
        <v>0</v>
      </c>
      <c r="R19">
        <f>M19*'3. Intervention Details'!$H19</f>
        <v>0</v>
      </c>
      <c r="S19">
        <f>N19*'3. Intervention Details'!$H19</f>
        <v>0</v>
      </c>
      <c r="T19">
        <f>O19*'3. Intervention Details'!$H19</f>
        <v>0</v>
      </c>
      <c r="AA19" s="56" t="str">
        <f>IF('4. Policy Interactive Screen'!F28&lt;&gt;"",'4. Policy Interactive Screen'!F28,"")</f>
        <v/>
      </c>
      <c r="AB19" s="56" t="str">
        <f>IF('4. Policy Interactive Screen'!I28&lt;&gt;"",'4. Policy Interactive Screen'!I28,"")</f>
        <v/>
      </c>
      <c r="AC19" s="56" t="str">
        <f>IF('4. Policy Interactive Screen'!L28&lt;&gt;"",'4. Policy Interactive Screen'!L28,"")</f>
        <v/>
      </c>
      <c r="AD19" s="56" t="str">
        <f>IF('policy interact graph numbers'!AR28&lt;&gt;"",'policy interact graph numbers'!AR28,"")</f>
        <v>ASM</v>
      </c>
    </row>
    <row r="20" spans="1:30" ht="15" thickBot="1" x14ac:dyDescent="0.45">
      <c r="A20" s="113">
        <v>15</v>
      </c>
      <c r="B20" s="310" t="str">
        <f>IF(Coverage!$B20="","",Coverage!$B20)</f>
        <v/>
      </c>
      <c r="C20" s="34" t="str">
        <f t="shared" si="7"/>
        <v/>
      </c>
      <c r="D20" s="308" t="str">
        <f t="shared" si="3"/>
        <v/>
      </c>
      <c r="E20" s="308" t="str">
        <f t="shared" si="4"/>
        <v/>
      </c>
      <c r="F20" s="308" t="str">
        <f t="shared" si="5"/>
        <v/>
      </c>
      <c r="G20" s="308" t="str">
        <f t="shared" si="6"/>
        <v>ASM</v>
      </c>
      <c r="H20" s="34" t="str">
        <f t="shared" si="7"/>
        <v/>
      </c>
      <c r="I20" s="34" t="str">
        <f t="shared" si="2"/>
        <v/>
      </c>
      <c r="J20" s="34" t="str">
        <f t="shared" si="7"/>
        <v/>
      </c>
      <c r="K20" s="34" t="str">
        <f t="shared" si="7"/>
        <v/>
      </c>
      <c r="L20" s="202">
        <f>IFERROR(IF($I20="Urban",(VLOOKUP($K20,lookup_urban,L$1,FALSE)*$H20*Coverage!H20),IF($I20="Rural",(VLOOKUP($K20,lookup_rural,L$1,FALSE)*$H20*Coverage!G20),(VLOOKUP($K20,lookup_demography,L$1,FALSE)*$H20*Coverage!G20))),0)</f>
        <v>0</v>
      </c>
      <c r="M20" s="202">
        <f>IFERROR(IF($I20="Urban",(VLOOKUP($K20,lookup_urban,M$1,FALSE)*$H20*Coverage!I20),IF($I20="Rural",(VLOOKUP($K20,lookup_rural,M$1,FALSE)*$H20*Coverage!I20),(VLOOKUP($K20,lookup_demography,M$1,FALSE)*$H20*Coverage!I20))),0)</f>
        <v>0</v>
      </c>
      <c r="N20" s="202">
        <f>IFERROR(IF($I20="Urban",(VLOOKUP($K20,lookup_urban,N$1,FALSE)*$H20*Coverage!J20),IF($I20="Rural",(VLOOKUP($K20,lookup_rural,N$1,FALSE)*$H20*Coverage!J20),(VLOOKUP($K20,lookup_demography,N$1,FALSE)*$H20*Coverage!J20))),0)</f>
        <v>0</v>
      </c>
      <c r="O20" s="202">
        <f>IFERROR(IF($I20="Urban",(VLOOKUP($K20,lookup_urban,O$1,FALSE)*$H20*Coverage!K20),IF($I20="Rural",(VLOOKUP($K20,lookup_rural,O$1,FALSE)*$H20*Coverage!K20),(VLOOKUP($K20,lookup_demography,O$1,FALSE)*$H20*Coverage!K20))),0)</f>
        <v>0</v>
      </c>
      <c r="Q20">
        <f>L20*'3. Intervention Details'!$H20</f>
        <v>0</v>
      </c>
      <c r="R20">
        <f>M20*'3. Intervention Details'!$H20</f>
        <v>0</v>
      </c>
      <c r="S20">
        <f>N20*'3. Intervention Details'!$H20</f>
        <v>0</v>
      </c>
      <c r="T20">
        <f>O20*'3. Intervention Details'!$H20</f>
        <v>0</v>
      </c>
      <c r="AA20" s="56" t="str">
        <f>IF('4. Policy Interactive Screen'!F29&lt;&gt;"",'4. Policy Interactive Screen'!F29,"")</f>
        <v/>
      </c>
      <c r="AB20" s="56" t="str">
        <f>IF('4. Policy Interactive Screen'!I29&lt;&gt;"",'4. Policy Interactive Screen'!I29,"")</f>
        <v/>
      </c>
      <c r="AC20" s="56" t="str">
        <f>IF('4. Policy Interactive Screen'!L29&lt;&gt;"",'4. Policy Interactive Screen'!L29,"")</f>
        <v/>
      </c>
      <c r="AD20" s="56" t="str">
        <f>IF('policy interact graph numbers'!AR29&lt;&gt;"",'policy interact graph numbers'!AR29,"")</f>
        <v>ASM</v>
      </c>
    </row>
    <row r="21" spans="1:30" ht="15" thickBot="1" x14ac:dyDescent="0.45">
      <c r="A21" s="113">
        <v>16</v>
      </c>
      <c r="B21" s="310" t="str">
        <f>IF(Coverage!$B21="","",Coverage!$B21)</f>
        <v/>
      </c>
      <c r="C21" s="34" t="str">
        <f t="shared" si="7"/>
        <v/>
      </c>
      <c r="D21" s="308" t="str">
        <f t="shared" si="3"/>
        <v/>
      </c>
      <c r="E21" s="308" t="str">
        <f t="shared" si="4"/>
        <v/>
      </c>
      <c r="F21" s="308" t="str">
        <f t="shared" si="5"/>
        <v/>
      </c>
      <c r="G21" s="308" t="str">
        <f t="shared" si="6"/>
        <v>ASM</v>
      </c>
      <c r="H21" s="34" t="str">
        <f t="shared" si="7"/>
        <v/>
      </c>
      <c r="I21" s="34" t="str">
        <f t="shared" si="2"/>
        <v/>
      </c>
      <c r="J21" s="34" t="str">
        <f t="shared" si="7"/>
        <v/>
      </c>
      <c r="K21" s="34" t="str">
        <f t="shared" si="7"/>
        <v/>
      </c>
      <c r="L21" s="202">
        <f>IFERROR(IF($I21="Urban",(VLOOKUP($K21,lookup_urban,L$1,FALSE)*$H21*Coverage!H21),IF($I21="Rural",(VLOOKUP($K21,lookup_rural,L$1,FALSE)*$H21*Coverage!G21),(VLOOKUP($K21,lookup_demography,L$1,FALSE)*$H21*Coverage!G21))),0)</f>
        <v>0</v>
      </c>
      <c r="M21" s="202">
        <f>IFERROR(IF($I21="Urban",(VLOOKUP($K21,lookup_urban,M$1,FALSE)*$H21*Coverage!I21),IF($I21="Rural",(VLOOKUP($K21,lookup_rural,M$1,FALSE)*$H21*Coverage!I21),(VLOOKUP($K21,lookup_demography,M$1,FALSE)*$H21*Coverage!I21))),0)</f>
        <v>0</v>
      </c>
      <c r="N21" s="202">
        <f>IFERROR(IF($I21="Urban",(VLOOKUP($K21,lookup_urban,N$1,FALSE)*$H21*Coverage!J21),IF($I21="Rural",(VLOOKUP($K21,lookup_rural,N$1,FALSE)*$H21*Coverage!J21),(VLOOKUP($K21,lookup_demography,N$1,FALSE)*$H21*Coverage!J21))),0)</f>
        <v>0</v>
      </c>
      <c r="O21" s="202">
        <f>IFERROR(IF($I21="Urban",(VLOOKUP($K21,lookup_urban,O$1,FALSE)*$H21*Coverage!K21),IF($I21="Rural",(VLOOKUP($K21,lookup_rural,O$1,FALSE)*$H21*Coverage!K21),(VLOOKUP($K21,lookup_demography,O$1,FALSE)*$H21*Coverage!K21))),0)</f>
        <v>0</v>
      </c>
      <c r="Q21">
        <f>L21*'3. Intervention Details'!$H21</f>
        <v>0</v>
      </c>
      <c r="R21">
        <f>M21*'3. Intervention Details'!$H21</f>
        <v>0</v>
      </c>
      <c r="S21">
        <f>N21*'3. Intervention Details'!$H21</f>
        <v>0</v>
      </c>
      <c r="T21">
        <f>O21*'3. Intervention Details'!$H21</f>
        <v>0</v>
      </c>
      <c r="AA21" s="56" t="str">
        <f>IF('4. Policy Interactive Screen'!F30&lt;&gt;"",'4. Policy Interactive Screen'!F30,"")</f>
        <v/>
      </c>
      <c r="AB21" s="56" t="str">
        <f>IF('4. Policy Interactive Screen'!I30&lt;&gt;"",'4. Policy Interactive Screen'!I30,"")</f>
        <v/>
      </c>
      <c r="AC21" s="56" t="str">
        <f>IF('4. Policy Interactive Screen'!L30&lt;&gt;"",'4. Policy Interactive Screen'!L30,"")</f>
        <v/>
      </c>
      <c r="AD21" s="56" t="str">
        <f>IF('policy interact graph numbers'!AR30&lt;&gt;"",'policy interact graph numbers'!AR30,"")</f>
        <v>ASM</v>
      </c>
    </row>
    <row r="22" spans="1:30" ht="15" thickBot="1" x14ac:dyDescent="0.45">
      <c r="A22" s="113">
        <v>17</v>
      </c>
      <c r="B22" s="310" t="str">
        <f>IF(Coverage!$B22="","",Coverage!$B22)</f>
        <v/>
      </c>
      <c r="C22" s="34" t="str">
        <f t="shared" si="7"/>
        <v/>
      </c>
      <c r="D22" s="308" t="str">
        <f t="shared" si="3"/>
        <v/>
      </c>
      <c r="E22" s="308" t="str">
        <f t="shared" si="4"/>
        <v/>
      </c>
      <c r="F22" s="308" t="str">
        <f t="shared" si="5"/>
        <v/>
      </c>
      <c r="G22" s="308" t="str">
        <f t="shared" si="6"/>
        <v>ASM</v>
      </c>
      <c r="H22" s="34" t="str">
        <f t="shared" si="7"/>
        <v/>
      </c>
      <c r="I22" s="34" t="str">
        <f t="shared" si="7"/>
        <v/>
      </c>
      <c r="J22" s="34" t="str">
        <f t="shared" si="7"/>
        <v/>
      </c>
      <c r="K22" s="34" t="str">
        <f t="shared" si="7"/>
        <v/>
      </c>
      <c r="L22" s="202">
        <f>IFERROR(IF($I22="Urban",(VLOOKUP($K22,lookup_urban,L$1,FALSE)*$H22*Coverage!H22),IF($I22="Rural",(VLOOKUP($K22,lookup_rural,L$1,FALSE)*$H22*Coverage!G22),(VLOOKUP($K22,lookup_demography,L$1,FALSE)*$H22*Coverage!G22))),0)</f>
        <v>0</v>
      </c>
      <c r="M22" s="202">
        <f>IFERROR(IF($I22="Urban",(VLOOKUP($K22,lookup_urban,M$1,FALSE)*$H22*Coverage!I22),IF($I22="Rural",(VLOOKUP($K22,lookup_rural,M$1,FALSE)*$H22*Coverage!I22),(VLOOKUP($K22,lookup_demography,M$1,FALSE)*$H22*Coverage!I22))),0)</f>
        <v>0</v>
      </c>
      <c r="N22" s="202">
        <f>IFERROR(IF($I22="Urban",(VLOOKUP($K22,lookup_urban,N$1,FALSE)*$H22*Coverage!J22),IF($I22="Rural",(VLOOKUP($K22,lookup_rural,N$1,FALSE)*$H22*Coverage!J22),(VLOOKUP($K22,lookup_demography,N$1,FALSE)*$H22*Coverage!J22))),0)</f>
        <v>0</v>
      </c>
      <c r="O22" s="202">
        <f>IFERROR(IF($I22="Urban",(VLOOKUP($K22,lookup_urban,O$1,FALSE)*$H22*Coverage!K22),IF($I22="Rural",(VLOOKUP($K22,lookup_rural,O$1,FALSE)*$H22*Coverage!K22),(VLOOKUP($K22,lookup_demography,O$1,FALSE)*$H22*Coverage!K22))),0)</f>
        <v>0</v>
      </c>
      <c r="Q22">
        <f>L22*'3. Intervention Details'!$H22</f>
        <v>0</v>
      </c>
      <c r="R22">
        <f>M22*'3. Intervention Details'!$H22</f>
        <v>0</v>
      </c>
      <c r="S22">
        <f>N22*'3. Intervention Details'!$H22</f>
        <v>0</v>
      </c>
      <c r="T22">
        <f>O22*'3. Intervention Details'!$H22</f>
        <v>0</v>
      </c>
      <c r="AA22" s="56" t="str">
        <f>IF('4. Policy Interactive Screen'!F31&lt;&gt;"",'4. Policy Interactive Screen'!F31,"")</f>
        <v/>
      </c>
      <c r="AB22" s="56" t="str">
        <f>IF('4. Policy Interactive Screen'!I31&lt;&gt;"",'4. Policy Interactive Screen'!I31,"")</f>
        <v/>
      </c>
      <c r="AC22" s="56" t="str">
        <f>IF('4. Policy Interactive Screen'!L31&lt;&gt;"",'4. Policy Interactive Screen'!L31,"")</f>
        <v/>
      </c>
      <c r="AD22" s="56" t="str">
        <f>IF('policy interact graph numbers'!AR31&lt;&gt;"",'policy interact graph numbers'!AR31,"")</f>
        <v>ASM</v>
      </c>
    </row>
    <row r="23" spans="1:30" ht="15" thickBot="1" x14ac:dyDescent="0.45">
      <c r="A23" s="113">
        <v>18</v>
      </c>
      <c r="B23" s="310" t="str">
        <f>IF(Coverage!$B23="","",Coverage!$B23)</f>
        <v/>
      </c>
      <c r="C23" s="34" t="str">
        <f t="shared" si="7"/>
        <v/>
      </c>
      <c r="D23" s="308" t="str">
        <f t="shared" si="3"/>
        <v/>
      </c>
      <c r="E23" s="308" t="str">
        <f t="shared" si="4"/>
        <v/>
      </c>
      <c r="F23" s="308" t="str">
        <f t="shared" si="5"/>
        <v/>
      </c>
      <c r="G23" s="308" t="str">
        <f t="shared" si="6"/>
        <v>Binome</v>
      </c>
      <c r="H23" s="34" t="str">
        <f t="shared" si="7"/>
        <v/>
      </c>
      <c r="I23" s="34" t="str">
        <f t="shared" si="7"/>
        <v/>
      </c>
      <c r="J23" s="34" t="str">
        <f t="shared" si="7"/>
        <v/>
      </c>
      <c r="K23" s="34" t="str">
        <f t="shared" si="7"/>
        <v/>
      </c>
      <c r="L23" s="202">
        <f>IFERROR(IF($I23="Urban",(VLOOKUP($K23,lookup_urban,L$1,FALSE)*$H23*Coverage!H23),IF($I23="Rural",(VLOOKUP($K23,lookup_rural,L$1,FALSE)*$H23*Coverage!G23),(VLOOKUP($K23,lookup_demography,L$1,FALSE)*$H23*Coverage!G23))),0)</f>
        <v>0</v>
      </c>
      <c r="M23" s="202">
        <f>IFERROR(IF($I23="Urban",(VLOOKUP($K23,lookup_urban,M$1,FALSE)*$H23*Coverage!I23),IF($I23="Rural",(VLOOKUP($K23,lookup_rural,M$1,FALSE)*$H23*Coverage!I23),(VLOOKUP($K23,lookup_demography,M$1,FALSE)*$H23*Coverage!I23))),0)</f>
        <v>0</v>
      </c>
      <c r="N23" s="202">
        <f>IFERROR(IF($I23="Urban",(VLOOKUP($K23,lookup_urban,N$1,FALSE)*$H23*Coverage!J23),IF($I23="Rural",(VLOOKUP($K23,lookup_rural,N$1,FALSE)*$H23*Coverage!J23),(VLOOKUP($K23,lookup_demography,N$1,FALSE)*$H23*Coverage!J23))),0)</f>
        <v>0</v>
      </c>
      <c r="O23" s="202">
        <f>IFERROR(IF($I23="Urban",(VLOOKUP($K23,lookup_urban,O$1,FALSE)*$H23*Coverage!K23),IF($I23="Rural",(VLOOKUP($K23,lookup_rural,O$1,FALSE)*$H23*Coverage!K23),(VLOOKUP($K23,lookup_demography,O$1,FALSE)*$H23*Coverage!K23))),0)</f>
        <v>0</v>
      </c>
      <c r="Q23">
        <f>L23*'3. Intervention Details'!$H23</f>
        <v>0</v>
      </c>
      <c r="R23">
        <f>M23*'3. Intervention Details'!$H23</f>
        <v>0</v>
      </c>
      <c r="S23">
        <f>N23*'3. Intervention Details'!$H23</f>
        <v>0</v>
      </c>
      <c r="T23">
        <f>O23*'3. Intervention Details'!$H23</f>
        <v>0</v>
      </c>
      <c r="AA23" s="56" t="str">
        <f>IF('4. Policy Interactive Screen'!F32&lt;&gt;"",'4. Policy Interactive Screen'!F32,"")</f>
        <v/>
      </c>
      <c r="AB23" s="56" t="str">
        <f>IF('4. Policy Interactive Screen'!I32&lt;&gt;"",'4. Policy Interactive Screen'!I32,"")</f>
        <v/>
      </c>
      <c r="AC23" s="56" t="str">
        <f>IF('4. Policy Interactive Screen'!L32&lt;&gt;"",'4. Policy Interactive Screen'!L32,"")</f>
        <v/>
      </c>
      <c r="AD23" s="56" t="str">
        <f>IF('policy interact graph numbers'!AR32&lt;&gt;"",'policy interact graph numbers'!AR32,"")</f>
        <v>Binome</v>
      </c>
    </row>
    <row r="24" spans="1:30" ht="15" thickBot="1" x14ac:dyDescent="0.45">
      <c r="A24" s="113">
        <v>19</v>
      </c>
      <c r="B24" s="310" t="str">
        <f>IF(Coverage!$B24="","",Coverage!$B24)</f>
        <v/>
      </c>
      <c r="C24" s="34" t="str">
        <f t="shared" si="7"/>
        <v/>
      </c>
      <c r="D24" s="308" t="str">
        <f t="shared" si="3"/>
        <v/>
      </c>
      <c r="E24" s="308" t="str">
        <f t="shared" si="4"/>
        <v/>
      </c>
      <c r="F24" s="308" t="str">
        <f t="shared" si="5"/>
        <v/>
      </c>
      <c r="G24" s="308" t="str">
        <f t="shared" si="6"/>
        <v>Binome</v>
      </c>
      <c r="H24" s="34" t="str">
        <f t="shared" si="7"/>
        <v/>
      </c>
      <c r="I24" s="34" t="str">
        <f t="shared" si="7"/>
        <v/>
      </c>
      <c r="J24" s="34" t="str">
        <f t="shared" si="7"/>
        <v/>
      </c>
      <c r="K24" s="34" t="str">
        <f t="shared" si="7"/>
        <v/>
      </c>
      <c r="L24" s="202">
        <f>IFERROR(IF($I24="Urban",(VLOOKUP($K24,lookup_urban,L$1,FALSE)*$H24*Coverage!H24),IF($I24="Rural",(VLOOKUP($K24,lookup_rural,L$1,FALSE)*$H24*Coverage!G24),(VLOOKUP($K24,lookup_demography,L$1,FALSE)*$H24*Coverage!G24))),0)</f>
        <v>0</v>
      </c>
      <c r="M24" s="202">
        <f>IFERROR(IF($I24="Urban",(VLOOKUP($K24,lookup_urban,M$1,FALSE)*$H24*Coverage!I24),IF($I24="Rural",(VLOOKUP($K24,lookup_rural,M$1,FALSE)*$H24*Coverage!I24),(VLOOKUP($K24,lookup_demography,M$1,FALSE)*$H24*Coverage!I24))),0)</f>
        <v>0</v>
      </c>
      <c r="N24" s="202">
        <f>IFERROR(IF($I24="Urban",(VLOOKUP($K24,lookup_urban,N$1,FALSE)*$H24*Coverage!J24),IF($I24="Rural",(VLOOKUP($K24,lookup_rural,N$1,FALSE)*$H24*Coverage!J24),(VLOOKUP($K24,lookup_demography,N$1,FALSE)*$H24*Coverage!J24))),0)</f>
        <v>0</v>
      </c>
      <c r="O24" s="202">
        <f>IFERROR(IF($I24="Urban",(VLOOKUP($K24,lookup_urban,O$1,FALSE)*$H24*Coverage!K24),IF($I24="Rural",(VLOOKUP($K24,lookup_rural,O$1,FALSE)*$H24*Coverage!K24),(VLOOKUP($K24,lookup_demography,O$1,FALSE)*$H24*Coverage!K24))),0)</f>
        <v>0</v>
      </c>
      <c r="Q24">
        <f>L24*'3. Intervention Details'!$H24</f>
        <v>0</v>
      </c>
      <c r="R24">
        <f>M24*'3. Intervention Details'!$H24</f>
        <v>0</v>
      </c>
      <c r="S24">
        <f>N24*'3. Intervention Details'!$H24</f>
        <v>0</v>
      </c>
      <c r="T24">
        <f>O24*'3. Intervention Details'!$H24</f>
        <v>0</v>
      </c>
      <c r="AA24" s="56" t="str">
        <f>IF('4. Policy Interactive Screen'!F33&lt;&gt;"",'4. Policy Interactive Screen'!F33,"")</f>
        <v/>
      </c>
      <c r="AB24" s="56" t="str">
        <f>IF('4. Policy Interactive Screen'!I33&lt;&gt;"",'4. Policy Interactive Screen'!I33,"")</f>
        <v/>
      </c>
      <c r="AC24" s="56" t="str">
        <f>IF('4. Policy Interactive Screen'!L33&lt;&gt;"",'4. Policy Interactive Screen'!L33,"")</f>
        <v/>
      </c>
      <c r="AD24" s="56" t="str">
        <f>IF('policy interact graph numbers'!AR33&lt;&gt;"",'policy interact graph numbers'!AR33,"")</f>
        <v>Binome</v>
      </c>
    </row>
    <row r="25" spans="1:30" ht="15" thickBot="1" x14ac:dyDescent="0.45">
      <c r="A25" s="113">
        <v>20</v>
      </c>
      <c r="B25" s="310" t="str">
        <f>IF(Coverage!$B25="","",Coverage!$B25)</f>
        <v/>
      </c>
      <c r="C25" s="34" t="str">
        <f t="shared" si="7"/>
        <v/>
      </c>
      <c r="D25" s="308" t="str">
        <f t="shared" si="3"/>
        <v/>
      </c>
      <c r="E25" s="308" t="str">
        <f t="shared" si="4"/>
        <v/>
      </c>
      <c r="F25" s="308" t="str">
        <f t="shared" si="5"/>
        <v/>
      </c>
      <c r="G25" s="308" t="str">
        <f t="shared" si="6"/>
        <v>Binome</v>
      </c>
      <c r="H25" s="34" t="str">
        <f t="shared" si="7"/>
        <v/>
      </c>
      <c r="I25" s="34" t="str">
        <f t="shared" si="7"/>
        <v/>
      </c>
      <c r="J25" s="34" t="str">
        <f t="shared" si="7"/>
        <v/>
      </c>
      <c r="K25" s="34" t="str">
        <f t="shared" si="7"/>
        <v/>
      </c>
      <c r="L25" s="202">
        <f>IFERROR(IF($I25="Urban",(VLOOKUP($K25,lookup_urban,L$1,FALSE)*$H25*Coverage!H25),IF($I25="Rural",(VLOOKUP($K25,lookup_rural,L$1,FALSE)*$H25*Coverage!G25),(VLOOKUP($K25,lookup_demography,L$1,FALSE)*$H25*Coverage!G25))),0)</f>
        <v>0</v>
      </c>
      <c r="M25" s="202">
        <f>IFERROR(IF($I25="Urban",(VLOOKUP($K25,lookup_urban,M$1,FALSE)*$H25*Coverage!I25),IF($I25="Rural",(VLOOKUP($K25,lookup_rural,M$1,FALSE)*$H25*Coverage!I25),(VLOOKUP($K25,lookup_demography,M$1,FALSE)*$H25*Coverage!I25))),0)</f>
        <v>0</v>
      </c>
      <c r="N25" s="202">
        <f>IFERROR(IF($I25="Urban",(VLOOKUP($K25,lookup_urban,N$1,FALSE)*$H25*Coverage!J25),IF($I25="Rural",(VLOOKUP($K25,lookup_rural,N$1,FALSE)*$H25*Coverage!J25),(VLOOKUP($K25,lookup_demography,N$1,FALSE)*$H25*Coverage!J25))),0)</f>
        <v>0</v>
      </c>
      <c r="O25" s="202">
        <f>IFERROR(IF($I25="Urban",(VLOOKUP($K25,lookup_urban,O$1,FALSE)*$H25*Coverage!K25),IF($I25="Rural",(VLOOKUP($K25,lookup_rural,O$1,FALSE)*$H25*Coverage!K25),(VLOOKUP($K25,lookup_demography,O$1,FALSE)*$H25*Coverage!K25))),0)</f>
        <v>0</v>
      </c>
      <c r="Q25">
        <f>L25*'3. Intervention Details'!$H25</f>
        <v>0</v>
      </c>
      <c r="R25">
        <f>M25*'3. Intervention Details'!$H25</f>
        <v>0</v>
      </c>
      <c r="S25">
        <f>N25*'3. Intervention Details'!$H25</f>
        <v>0</v>
      </c>
      <c r="T25">
        <f>O25*'3. Intervention Details'!$H25</f>
        <v>0</v>
      </c>
      <c r="AA25" s="56" t="str">
        <f>IF('4. Policy Interactive Screen'!F34&lt;&gt;"",'4. Policy Interactive Screen'!F34,"")</f>
        <v/>
      </c>
      <c r="AB25" s="56" t="str">
        <f>IF('4. Policy Interactive Screen'!I34&lt;&gt;"",'4. Policy Interactive Screen'!I34,"")</f>
        <v/>
      </c>
      <c r="AC25" s="56" t="str">
        <f>IF('4. Policy Interactive Screen'!L34&lt;&gt;"",'4. Policy Interactive Screen'!L34,"")</f>
        <v/>
      </c>
      <c r="AD25" s="56" t="str">
        <f>IF('policy interact graph numbers'!AR34&lt;&gt;"",'policy interact graph numbers'!AR34,"")</f>
        <v>Binome</v>
      </c>
    </row>
    <row r="26" spans="1:30" ht="15" thickBot="1" x14ac:dyDescent="0.45">
      <c r="A26" s="113">
        <v>21</v>
      </c>
      <c r="B26" s="310" t="str">
        <f>IF(Coverage!$B26="","",Coverage!$B26)</f>
        <v/>
      </c>
      <c r="C26" s="34" t="str">
        <f t="shared" ref="C26:K41" si="8">IFERROR((VLOOKUP($B26,lookup_masterlist,C$1,FALSE)),"")</f>
        <v/>
      </c>
      <c r="D26" s="308" t="str">
        <f t="shared" si="3"/>
        <v/>
      </c>
      <c r="E26" s="308" t="str">
        <f t="shared" si="4"/>
        <v/>
      </c>
      <c r="F26" s="308" t="str">
        <f t="shared" si="5"/>
        <v/>
      </c>
      <c r="G26" s="308" t="str">
        <f t="shared" si="6"/>
        <v>Binome</v>
      </c>
      <c r="H26" s="34" t="str">
        <f t="shared" si="8"/>
        <v/>
      </c>
      <c r="I26" s="34" t="str">
        <f t="shared" si="7"/>
        <v/>
      </c>
      <c r="J26" s="34" t="str">
        <f t="shared" si="8"/>
        <v/>
      </c>
      <c r="K26" s="34" t="str">
        <f t="shared" si="8"/>
        <v/>
      </c>
      <c r="L26" s="202">
        <f>IFERROR(IF($I26="Urban",(VLOOKUP($K26,lookup_urban,L$1,FALSE)*$H26*Coverage!H26),IF($I26="Rural",(VLOOKUP($K26,lookup_rural,L$1,FALSE)*$H26*Coverage!G26),(VLOOKUP($K26,lookup_demography,L$1,FALSE)*$H26*Coverage!G26))),0)</f>
        <v>0</v>
      </c>
      <c r="M26" s="202">
        <f>IFERROR(IF($I26="Urban",(VLOOKUP($K26,lookup_urban,M$1,FALSE)*$H26*Coverage!I26),IF($I26="Rural",(VLOOKUP($K26,lookup_rural,M$1,FALSE)*$H26*Coverage!I26),(VLOOKUP($K26,lookup_demography,M$1,FALSE)*$H26*Coverage!I26))),0)</f>
        <v>0</v>
      </c>
      <c r="N26" s="202">
        <f>IFERROR(IF($I26="Urban",(VLOOKUP($K26,lookup_urban,N$1,FALSE)*$H26*Coverage!J26),IF($I26="Rural",(VLOOKUP($K26,lookup_rural,N$1,FALSE)*$H26*Coverage!J26),(VLOOKUP($K26,lookup_demography,N$1,FALSE)*$H26*Coverage!J26))),0)</f>
        <v>0</v>
      </c>
      <c r="O26" s="202">
        <f>IFERROR(IF($I26="Urban",(VLOOKUP($K26,lookup_urban,O$1,FALSE)*$H26*Coverage!K26),IF($I26="Rural",(VLOOKUP($K26,lookup_rural,O$1,FALSE)*$H26*Coverage!K26),(VLOOKUP($K26,lookup_demography,O$1,FALSE)*$H26*Coverage!K26))),0)</f>
        <v>0</v>
      </c>
      <c r="Q26">
        <f>L26*'3. Intervention Details'!$H26</f>
        <v>0</v>
      </c>
      <c r="R26">
        <f>M26*'3. Intervention Details'!$H26</f>
        <v>0</v>
      </c>
      <c r="S26">
        <f>N26*'3. Intervention Details'!$H26</f>
        <v>0</v>
      </c>
      <c r="T26">
        <f>O26*'3. Intervention Details'!$H26</f>
        <v>0</v>
      </c>
      <c r="AA26" s="56" t="str">
        <f>IF('4. Policy Interactive Screen'!F35&lt;&gt;"",'4. Policy Interactive Screen'!F35,"")</f>
        <v/>
      </c>
      <c r="AB26" s="56" t="str">
        <f>IF('4. Policy Interactive Screen'!I35&lt;&gt;"",'4. Policy Interactive Screen'!I35,"")</f>
        <v/>
      </c>
      <c r="AC26" s="56" t="str">
        <f>IF('4. Policy Interactive Screen'!L35&lt;&gt;"",'4. Policy Interactive Screen'!L35,"")</f>
        <v/>
      </c>
      <c r="AD26" s="56" t="str">
        <f>IF('policy interact graph numbers'!AR35&lt;&gt;"",'policy interact graph numbers'!AR35,"")</f>
        <v>Binome</v>
      </c>
    </row>
    <row r="27" spans="1:30" ht="15" thickBot="1" x14ac:dyDescent="0.45">
      <c r="A27" s="113">
        <v>22</v>
      </c>
      <c r="B27" s="310" t="str">
        <f>IF(Coverage!$B27="","",Coverage!$B27)</f>
        <v/>
      </c>
      <c r="C27" s="34" t="str">
        <f t="shared" si="8"/>
        <v/>
      </c>
      <c r="D27" s="308" t="str">
        <f t="shared" si="3"/>
        <v/>
      </c>
      <c r="E27" s="308" t="str">
        <f t="shared" si="4"/>
        <v/>
      </c>
      <c r="F27" s="308" t="str">
        <f t="shared" si="5"/>
        <v/>
      </c>
      <c r="G27" s="308" t="str">
        <f t="shared" si="6"/>
        <v>Binome</v>
      </c>
      <c r="H27" s="34" t="str">
        <f t="shared" si="8"/>
        <v/>
      </c>
      <c r="I27" s="34" t="str">
        <f t="shared" si="7"/>
        <v/>
      </c>
      <c r="J27" s="34" t="str">
        <f t="shared" si="8"/>
        <v/>
      </c>
      <c r="K27" s="34" t="str">
        <f t="shared" si="8"/>
        <v/>
      </c>
      <c r="L27" s="202">
        <f>IFERROR(IF($I27="Urban",(VLOOKUP($K27,lookup_urban,L$1,FALSE)*$H27*Coverage!H27),IF($I27="Rural",(VLOOKUP($K27,lookup_rural,L$1,FALSE)*$H27*Coverage!G27),(VLOOKUP($K27,lookup_demography,L$1,FALSE)*$H27*Coverage!G27))),0)</f>
        <v>0</v>
      </c>
      <c r="M27" s="202">
        <f>IFERROR(IF($I27="Urban",(VLOOKUP($K27,lookup_urban,M$1,FALSE)*$H27*Coverage!I27),IF($I27="Rural",(VLOOKUP($K27,lookup_rural,M$1,FALSE)*$H27*Coverage!I27),(VLOOKUP($K27,lookup_demography,M$1,FALSE)*$H27*Coverage!I27))),0)</f>
        <v>0</v>
      </c>
      <c r="N27" s="202">
        <f>IFERROR(IF($I27="Urban",(VLOOKUP($K27,lookup_urban,N$1,FALSE)*$H27*Coverage!J27),IF($I27="Rural",(VLOOKUP($K27,lookup_rural,N$1,FALSE)*$H27*Coverage!J27),(VLOOKUP($K27,lookup_demography,N$1,FALSE)*$H27*Coverage!J27))),0)</f>
        <v>0</v>
      </c>
      <c r="O27" s="202">
        <f>IFERROR(IF($I27="Urban",(VLOOKUP($K27,lookup_urban,O$1,FALSE)*$H27*Coverage!K27),IF($I27="Rural",(VLOOKUP($K27,lookup_rural,O$1,FALSE)*$H27*Coverage!K27),(VLOOKUP($K27,lookup_demography,O$1,FALSE)*$H27*Coverage!K27))),0)</f>
        <v>0</v>
      </c>
      <c r="Q27">
        <f>L27*'3. Intervention Details'!$H27</f>
        <v>0</v>
      </c>
      <c r="R27">
        <f>M27*'3. Intervention Details'!$H27</f>
        <v>0</v>
      </c>
      <c r="S27">
        <f>N27*'3. Intervention Details'!$H27</f>
        <v>0</v>
      </c>
      <c r="T27">
        <f>O27*'3. Intervention Details'!$H27</f>
        <v>0</v>
      </c>
      <c r="AA27" s="56" t="str">
        <f>IF('4. Policy Interactive Screen'!F36&lt;&gt;"",'4. Policy Interactive Screen'!F36,"")</f>
        <v/>
      </c>
      <c r="AB27" s="56" t="str">
        <f>IF('4. Policy Interactive Screen'!I36&lt;&gt;"",'4. Policy Interactive Screen'!I36,"")</f>
        <v/>
      </c>
      <c r="AC27" s="56" t="str">
        <f>IF('4. Policy Interactive Screen'!L36&lt;&gt;"",'4. Policy Interactive Screen'!L36,"")</f>
        <v/>
      </c>
      <c r="AD27" s="56" t="str">
        <f>IF('policy interact graph numbers'!AR36&lt;&gt;"",'policy interact graph numbers'!AR36,"")</f>
        <v>Binome</v>
      </c>
    </row>
    <row r="28" spans="1:30" ht="15" thickBot="1" x14ac:dyDescent="0.45">
      <c r="A28" s="113">
        <v>23</v>
      </c>
      <c r="B28" s="310" t="str">
        <f>IF(Coverage!$B28="","",Coverage!$B28)</f>
        <v/>
      </c>
      <c r="C28" s="34" t="str">
        <f t="shared" si="8"/>
        <v/>
      </c>
      <c r="D28" s="308" t="str">
        <f t="shared" si="3"/>
        <v/>
      </c>
      <c r="E28" s="308" t="str">
        <f t="shared" si="4"/>
        <v/>
      </c>
      <c r="F28" s="308" t="str">
        <f t="shared" si="5"/>
        <v/>
      </c>
      <c r="G28" s="308" t="str">
        <f t="shared" si="6"/>
        <v>Binome</v>
      </c>
      <c r="H28" s="34" t="str">
        <f t="shared" si="8"/>
        <v/>
      </c>
      <c r="I28" s="34" t="str">
        <f t="shared" si="7"/>
        <v/>
      </c>
      <c r="J28" s="34" t="str">
        <f t="shared" si="8"/>
        <v/>
      </c>
      <c r="K28" s="34" t="str">
        <f t="shared" si="8"/>
        <v/>
      </c>
      <c r="L28" s="202">
        <f>IFERROR(IF($I28="Urban",(VLOOKUP($K28,lookup_urban,L$1,FALSE)*$H28*Coverage!H28),IF($I28="Rural",(VLOOKUP($K28,lookup_rural,L$1,FALSE)*$H28*Coverage!G28),(VLOOKUP($K28,lookup_demography,L$1,FALSE)*$H28*Coverage!G28))),0)</f>
        <v>0</v>
      </c>
      <c r="M28" s="202">
        <f>IFERROR(IF($I28="Urban",(VLOOKUP($K28,lookup_urban,M$1,FALSE)*$H28*Coverage!I28),IF($I28="Rural",(VLOOKUP($K28,lookup_rural,M$1,FALSE)*$H28*Coverage!I28),(VLOOKUP($K28,lookup_demography,M$1,FALSE)*$H28*Coverage!I28))),0)</f>
        <v>0</v>
      </c>
      <c r="N28" s="202">
        <f>IFERROR(IF($I28="Urban",(VLOOKUP($K28,lookup_urban,N$1,FALSE)*$H28*Coverage!J28),IF($I28="Rural",(VLOOKUP($K28,lookup_rural,N$1,FALSE)*$H28*Coverage!J28),(VLOOKUP($K28,lookup_demography,N$1,FALSE)*$H28*Coverage!J28))),0)</f>
        <v>0</v>
      </c>
      <c r="O28" s="202">
        <f>IFERROR(IF($I28="Urban",(VLOOKUP($K28,lookup_urban,O$1,FALSE)*$H28*Coverage!K28),IF($I28="Rural",(VLOOKUP($K28,lookup_rural,O$1,FALSE)*$H28*Coverage!K28),(VLOOKUP($K28,lookup_demography,O$1,FALSE)*$H28*Coverage!K28))),0)</f>
        <v>0</v>
      </c>
      <c r="Q28">
        <f>L28*'3. Intervention Details'!$H28</f>
        <v>0</v>
      </c>
      <c r="R28">
        <f>M28*'3. Intervention Details'!$H28</f>
        <v>0</v>
      </c>
      <c r="S28">
        <f>N28*'3. Intervention Details'!$H28</f>
        <v>0</v>
      </c>
      <c r="T28">
        <f>O28*'3. Intervention Details'!$H28</f>
        <v>0</v>
      </c>
      <c r="AA28" s="56" t="str">
        <f>IF('4. Policy Interactive Screen'!F37&lt;&gt;"",'4. Policy Interactive Screen'!F37,"")</f>
        <v/>
      </c>
      <c r="AB28" s="56" t="str">
        <f>IF('4. Policy Interactive Screen'!I37&lt;&gt;"",'4. Policy Interactive Screen'!I37,"")</f>
        <v/>
      </c>
      <c r="AC28" s="56" t="str">
        <f>IF('4. Policy Interactive Screen'!L37&lt;&gt;"",'4. Policy Interactive Screen'!L37,"")</f>
        <v/>
      </c>
      <c r="AD28" s="56" t="str">
        <f>IF('policy interact graph numbers'!AR37&lt;&gt;"",'policy interact graph numbers'!AR37,"")</f>
        <v>Binome</v>
      </c>
    </row>
    <row r="29" spans="1:30" ht="15" thickBot="1" x14ac:dyDescent="0.45">
      <c r="A29" s="113">
        <v>24</v>
      </c>
      <c r="B29" s="310" t="str">
        <f>IF(Coverage!$B29="","",Coverage!$B29)</f>
        <v/>
      </c>
      <c r="C29" s="34" t="str">
        <f t="shared" si="8"/>
        <v/>
      </c>
      <c r="D29" s="308" t="str">
        <f t="shared" si="3"/>
        <v/>
      </c>
      <c r="E29" s="308" t="str">
        <f t="shared" si="4"/>
        <v/>
      </c>
      <c r="F29" s="308" t="str">
        <f t="shared" si="5"/>
        <v/>
      </c>
      <c r="G29" s="308" t="str">
        <f t="shared" si="6"/>
        <v>Binome</v>
      </c>
      <c r="H29" s="34" t="str">
        <f t="shared" si="8"/>
        <v/>
      </c>
      <c r="I29" s="34" t="str">
        <f t="shared" si="7"/>
        <v/>
      </c>
      <c r="J29" s="34" t="str">
        <f t="shared" si="8"/>
        <v/>
      </c>
      <c r="K29" s="34" t="str">
        <f t="shared" si="8"/>
        <v/>
      </c>
      <c r="L29" s="202">
        <f>IFERROR(IF($I29="Urban",(VLOOKUP($K29,lookup_urban,L$1,FALSE)*$H29*Coverage!H29),IF($I29="Rural",(VLOOKUP($K29,lookup_rural,L$1,FALSE)*$H29*Coverage!G29),(VLOOKUP($K29,lookup_demography,L$1,FALSE)*$H29*Coverage!G29))),0)</f>
        <v>0</v>
      </c>
      <c r="M29" s="202">
        <f>IFERROR(IF($I29="Urban",(VLOOKUP($K29,lookup_urban,M$1,FALSE)*$H29*Coverage!I29),IF($I29="Rural",(VLOOKUP($K29,lookup_rural,M$1,FALSE)*$H29*Coverage!I29),(VLOOKUP($K29,lookup_demography,M$1,FALSE)*$H29*Coverage!I29))),0)</f>
        <v>0</v>
      </c>
      <c r="N29" s="202">
        <f>IFERROR(IF($I29="Urban",(VLOOKUP($K29,lookup_urban,N$1,FALSE)*$H29*Coverage!J29),IF($I29="Rural",(VLOOKUP($K29,lookup_rural,N$1,FALSE)*$H29*Coverage!J29),(VLOOKUP($K29,lookup_demography,N$1,FALSE)*$H29*Coverage!J29))),0)</f>
        <v>0</v>
      </c>
      <c r="O29" s="202">
        <f>IFERROR(IF($I29="Urban",(VLOOKUP($K29,lookup_urban,O$1,FALSE)*$H29*Coverage!K29),IF($I29="Rural",(VLOOKUP($K29,lookup_rural,O$1,FALSE)*$H29*Coverage!K29),(VLOOKUP($K29,lookup_demography,O$1,FALSE)*$H29*Coverage!K29))),0)</f>
        <v>0</v>
      </c>
      <c r="Q29">
        <f>L29*'3. Intervention Details'!$H29</f>
        <v>0</v>
      </c>
      <c r="R29">
        <f>M29*'3. Intervention Details'!$H29</f>
        <v>0</v>
      </c>
      <c r="S29">
        <f>N29*'3. Intervention Details'!$H29</f>
        <v>0</v>
      </c>
      <c r="T29">
        <f>O29*'3. Intervention Details'!$H29</f>
        <v>0</v>
      </c>
      <c r="AA29" s="56" t="str">
        <f>IF('4. Policy Interactive Screen'!F38&lt;&gt;"",'4. Policy Interactive Screen'!F38,"")</f>
        <v/>
      </c>
      <c r="AB29" s="56" t="str">
        <f>IF('4. Policy Interactive Screen'!I38&lt;&gt;"",'4. Policy Interactive Screen'!I38,"")</f>
        <v/>
      </c>
      <c r="AC29" s="56" t="str">
        <f>IF('4. Policy Interactive Screen'!L38&lt;&gt;"",'4. Policy Interactive Screen'!L38,"")</f>
        <v/>
      </c>
      <c r="AD29" s="56" t="str">
        <f>IF('policy interact graph numbers'!AR38&lt;&gt;"",'policy interact graph numbers'!AR38,"")</f>
        <v>Binome</v>
      </c>
    </row>
    <row r="30" spans="1:30" ht="15" thickBot="1" x14ac:dyDescent="0.45">
      <c r="A30" s="113">
        <v>25</v>
      </c>
      <c r="B30" s="310" t="str">
        <f>IF(Coverage!$B30="","",Coverage!$B30)</f>
        <v/>
      </c>
      <c r="C30" s="34" t="str">
        <f t="shared" si="8"/>
        <v/>
      </c>
      <c r="D30" s="308" t="str">
        <f t="shared" si="3"/>
        <v/>
      </c>
      <c r="E30" s="308" t="str">
        <f t="shared" si="4"/>
        <v/>
      </c>
      <c r="F30" s="308" t="str">
        <f t="shared" si="5"/>
        <v/>
      </c>
      <c r="G30" s="308" t="str">
        <f t="shared" si="6"/>
        <v>Binome</v>
      </c>
      <c r="H30" s="34" t="str">
        <f t="shared" si="8"/>
        <v/>
      </c>
      <c r="I30" s="34" t="str">
        <f t="shared" si="7"/>
        <v/>
      </c>
      <c r="J30" s="34" t="str">
        <f t="shared" si="8"/>
        <v/>
      </c>
      <c r="K30" s="34" t="str">
        <f t="shared" si="8"/>
        <v/>
      </c>
      <c r="L30" s="202">
        <f>IFERROR(IF($I30="Urban",(VLOOKUP($K30,lookup_urban,L$1,FALSE)*$H30*Coverage!H30),IF($I30="Rural",(VLOOKUP($K30,lookup_rural,L$1,FALSE)*$H30*Coverage!G30),(VLOOKUP($K30,lookup_demography,L$1,FALSE)*$H30*Coverage!G30))),0)</f>
        <v>0</v>
      </c>
      <c r="M30" s="202">
        <f>IFERROR(IF($I30="Urban",(VLOOKUP($K30,lookup_urban,M$1,FALSE)*$H30*Coverage!I30),IF($I30="Rural",(VLOOKUP($K30,lookup_rural,M$1,FALSE)*$H30*Coverage!I30),(VLOOKUP($K30,lookup_demography,M$1,FALSE)*$H30*Coverage!I30))),0)</f>
        <v>0</v>
      </c>
      <c r="N30" s="202">
        <f>IFERROR(IF($I30="Urban",(VLOOKUP($K30,lookup_urban,N$1,FALSE)*$H30*Coverage!J30),IF($I30="Rural",(VLOOKUP($K30,lookup_rural,N$1,FALSE)*$H30*Coverage!J30),(VLOOKUP($K30,lookup_demography,N$1,FALSE)*$H30*Coverage!J30))),0)</f>
        <v>0</v>
      </c>
      <c r="O30" s="202">
        <f>IFERROR(IF($I30="Urban",(VLOOKUP($K30,lookup_urban,O$1,FALSE)*$H30*Coverage!K30),IF($I30="Rural",(VLOOKUP($K30,lookup_rural,O$1,FALSE)*$H30*Coverage!K30),(VLOOKUP($K30,lookup_demography,O$1,FALSE)*$H30*Coverage!K30))),0)</f>
        <v>0</v>
      </c>
      <c r="Q30">
        <f>L30*'3. Intervention Details'!$H30</f>
        <v>0</v>
      </c>
      <c r="R30">
        <f>M30*'3. Intervention Details'!$H30</f>
        <v>0</v>
      </c>
      <c r="S30">
        <f>N30*'3. Intervention Details'!$H30</f>
        <v>0</v>
      </c>
      <c r="T30">
        <f>O30*'3. Intervention Details'!$H30</f>
        <v>0</v>
      </c>
      <c r="AA30" s="56" t="str">
        <f>IF('4. Policy Interactive Screen'!F39&lt;&gt;"",'4. Policy Interactive Screen'!F39,"")</f>
        <v/>
      </c>
      <c r="AB30" s="56" t="str">
        <f>IF('4. Policy Interactive Screen'!I39&lt;&gt;"",'4. Policy Interactive Screen'!I39,"")</f>
        <v/>
      </c>
      <c r="AC30" s="56" t="str">
        <f>IF('4. Policy Interactive Screen'!L39&lt;&gt;"",'4. Policy Interactive Screen'!L39,"")</f>
        <v/>
      </c>
      <c r="AD30" s="56" t="str">
        <f>IF('policy interact graph numbers'!AR39&lt;&gt;"",'policy interact graph numbers'!AR39,"")</f>
        <v>Binome</v>
      </c>
    </row>
    <row r="31" spans="1:30" ht="15" thickBot="1" x14ac:dyDescent="0.45">
      <c r="A31" s="113">
        <v>26</v>
      </c>
      <c r="B31" s="310" t="str">
        <f>IF(Coverage!$B31="","",Coverage!$B31)</f>
        <v/>
      </c>
      <c r="C31" s="34" t="str">
        <f t="shared" si="8"/>
        <v/>
      </c>
      <c r="D31" s="308" t="str">
        <f t="shared" si="3"/>
        <v/>
      </c>
      <c r="E31" s="308" t="str">
        <f t="shared" si="4"/>
        <v/>
      </c>
      <c r="F31" s="308" t="str">
        <f t="shared" si="5"/>
        <v/>
      </c>
      <c r="G31" s="308" t="str">
        <f t="shared" si="6"/>
        <v>Binome</v>
      </c>
      <c r="H31" s="34" t="str">
        <f t="shared" si="8"/>
        <v/>
      </c>
      <c r="I31" s="34" t="str">
        <f t="shared" si="7"/>
        <v/>
      </c>
      <c r="J31" s="34" t="str">
        <f t="shared" si="8"/>
        <v/>
      </c>
      <c r="K31" s="34" t="str">
        <f t="shared" si="8"/>
        <v/>
      </c>
      <c r="L31" s="202">
        <f>IFERROR(IF($I31="Urban",(VLOOKUP($K31,lookup_urban,L$1,FALSE)*$H31*Coverage!H31),IF($I31="Rural",(VLOOKUP($K31,lookup_rural,L$1,FALSE)*$H31*Coverage!G31),(VLOOKUP($K31,lookup_demography,L$1,FALSE)*$H31*Coverage!G31))),0)</f>
        <v>0</v>
      </c>
      <c r="M31" s="202">
        <f>IFERROR(IF($I31="Urban",(VLOOKUP($K31,lookup_urban,M$1,FALSE)*$H31*Coverage!I31),IF($I31="Rural",(VLOOKUP($K31,lookup_rural,M$1,FALSE)*$H31*Coverage!I31),(VLOOKUP($K31,lookup_demography,M$1,FALSE)*$H31*Coverage!I31))),0)</f>
        <v>0</v>
      </c>
      <c r="N31" s="202">
        <f>IFERROR(IF($I31="Urban",(VLOOKUP($K31,lookup_urban,N$1,FALSE)*$H31*Coverage!J31),IF($I31="Rural",(VLOOKUP($K31,lookup_rural,N$1,FALSE)*$H31*Coverage!J31),(VLOOKUP($K31,lookup_demography,N$1,FALSE)*$H31*Coverage!J31))),0)</f>
        <v>0</v>
      </c>
      <c r="O31" s="202">
        <f>IFERROR(IF($I31="Urban",(VLOOKUP($K31,lookup_urban,O$1,FALSE)*$H31*Coverage!K31),IF($I31="Rural",(VLOOKUP($K31,lookup_rural,O$1,FALSE)*$H31*Coverage!K31),(VLOOKUP($K31,lookup_demography,O$1,FALSE)*$H31*Coverage!K31))),0)</f>
        <v>0</v>
      </c>
      <c r="Q31">
        <f>L31*'3. Intervention Details'!$H31</f>
        <v>0</v>
      </c>
      <c r="R31">
        <f>M31*'3. Intervention Details'!$H31</f>
        <v>0</v>
      </c>
      <c r="S31">
        <f>N31*'3. Intervention Details'!$H31</f>
        <v>0</v>
      </c>
      <c r="T31">
        <f>O31*'3. Intervention Details'!$H31</f>
        <v>0</v>
      </c>
      <c r="AA31" s="56" t="str">
        <f>IF('4. Policy Interactive Screen'!F40&lt;&gt;"",'4. Policy Interactive Screen'!F40,"")</f>
        <v/>
      </c>
      <c r="AB31" s="56" t="str">
        <f>IF('4. Policy Interactive Screen'!I40&lt;&gt;"",'4. Policy Interactive Screen'!I40,"")</f>
        <v/>
      </c>
      <c r="AC31" s="56" t="str">
        <f>IF('4. Policy Interactive Screen'!L40&lt;&gt;"",'4. Policy Interactive Screen'!L40,"")</f>
        <v/>
      </c>
      <c r="AD31" s="56" t="str">
        <f>IF('policy interact graph numbers'!AR40&lt;&gt;"",'policy interact graph numbers'!AR40,"")</f>
        <v>Binome</v>
      </c>
    </row>
    <row r="32" spans="1:30" ht="15" thickBot="1" x14ac:dyDescent="0.45">
      <c r="A32" s="113">
        <v>27</v>
      </c>
      <c r="B32" s="310" t="str">
        <f>IF(Coverage!$B32="","",Coverage!$B32)</f>
        <v/>
      </c>
      <c r="C32" s="34" t="str">
        <f t="shared" si="8"/>
        <v/>
      </c>
      <c r="D32" s="308" t="str">
        <f t="shared" si="3"/>
        <v/>
      </c>
      <c r="E32" s="308" t="str">
        <f t="shared" si="4"/>
        <v/>
      </c>
      <c r="F32" s="308" t="str">
        <f t="shared" si="5"/>
        <v/>
      </c>
      <c r="G32" s="308" t="str">
        <f t="shared" si="6"/>
        <v/>
      </c>
      <c r="H32" s="34" t="str">
        <f t="shared" si="8"/>
        <v/>
      </c>
      <c r="I32" s="34" t="str">
        <f t="shared" si="8"/>
        <v/>
      </c>
      <c r="J32" s="34" t="str">
        <f t="shared" si="8"/>
        <v/>
      </c>
      <c r="K32" s="34" t="str">
        <f t="shared" si="8"/>
        <v/>
      </c>
      <c r="L32" s="202">
        <f>IFERROR(IF($I32="Urban",(VLOOKUP($K32,lookup_urban,L$1,FALSE)*$H32*Coverage!H32),IF($I32="Rural",(VLOOKUP($K32,lookup_rural,L$1,FALSE)*$H32*Coverage!G32),(VLOOKUP($K32,lookup_demography,L$1,FALSE)*$H32*Coverage!G32))),0)</f>
        <v>0</v>
      </c>
      <c r="M32" s="202">
        <f>IFERROR(IF($I32="Urban",(VLOOKUP($K32,lookup_urban,M$1,FALSE)*$H32*Coverage!I32),IF($I32="Rural",(VLOOKUP($K32,lookup_rural,M$1,FALSE)*$H32*Coverage!I32),(VLOOKUP($K32,lookup_demography,M$1,FALSE)*$H32*Coverage!I32))),0)</f>
        <v>0</v>
      </c>
      <c r="N32" s="202">
        <f>IFERROR(IF($I32="Urban",(VLOOKUP($K32,lookup_urban,N$1,FALSE)*$H32*Coverage!J32),IF($I32="Rural",(VLOOKUP($K32,lookup_rural,N$1,FALSE)*$H32*Coverage!J32),(VLOOKUP($K32,lookup_demography,N$1,FALSE)*$H32*Coverage!J32))),0)</f>
        <v>0</v>
      </c>
      <c r="O32" s="202">
        <f>IFERROR(IF($I32="Urban",(VLOOKUP($K32,lookup_urban,O$1,FALSE)*$H32*Coverage!K32),IF($I32="Rural",(VLOOKUP($K32,lookup_rural,O$1,FALSE)*$H32*Coverage!K32),(VLOOKUP($K32,lookup_demography,O$1,FALSE)*$H32*Coverage!K32))),0)</f>
        <v>0</v>
      </c>
      <c r="Q32">
        <f>L32*'3. Intervention Details'!$H32</f>
        <v>0</v>
      </c>
      <c r="R32">
        <f>M32*'3. Intervention Details'!$H32</f>
        <v>0</v>
      </c>
      <c r="S32">
        <f>N32*'3. Intervention Details'!$H32</f>
        <v>0</v>
      </c>
      <c r="T32">
        <f>O32*'3. Intervention Details'!$H32</f>
        <v>0</v>
      </c>
      <c r="AA32" s="56" t="str">
        <f>IF('4. Policy Interactive Screen'!F41&lt;&gt;"",'4. Policy Interactive Screen'!F41,"")</f>
        <v/>
      </c>
      <c r="AB32" s="56" t="str">
        <f>IF('4. Policy Interactive Screen'!I41&lt;&gt;"",'4. Policy Interactive Screen'!I41,"")</f>
        <v/>
      </c>
      <c r="AC32" s="56" t="str">
        <f>IF('4. Policy Interactive Screen'!L41&lt;&gt;"",'4. Policy Interactive Screen'!L41,"")</f>
        <v/>
      </c>
      <c r="AD32" s="56" t="str">
        <f>IF('policy interact graph numbers'!AR41&lt;&gt;"",'policy interact graph numbers'!AR41,"")</f>
        <v/>
      </c>
    </row>
    <row r="33" spans="1:30" ht="15" thickBot="1" x14ac:dyDescent="0.45">
      <c r="A33" s="113">
        <v>28</v>
      </c>
      <c r="B33" s="310" t="str">
        <f>IF(Coverage!$B33="","",Coverage!$B33)</f>
        <v/>
      </c>
      <c r="C33" s="34" t="str">
        <f t="shared" si="8"/>
        <v/>
      </c>
      <c r="D33" s="308" t="str">
        <f t="shared" si="3"/>
        <v/>
      </c>
      <c r="E33" s="308" t="str">
        <f t="shared" si="4"/>
        <v/>
      </c>
      <c r="F33" s="308" t="str">
        <f t="shared" si="5"/>
        <v/>
      </c>
      <c r="G33" s="308" t="str">
        <f t="shared" si="6"/>
        <v/>
      </c>
      <c r="H33" s="34" t="str">
        <f t="shared" si="8"/>
        <v/>
      </c>
      <c r="I33" s="34" t="str">
        <f t="shared" si="8"/>
        <v/>
      </c>
      <c r="J33" s="34" t="str">
        <f t="shared" si="8"/>
        <v/>
      </c>
      <c r="K33" s="34" t="str">
        <f t="shared" si="8"/>
        <v/>
      </c>
      <c r="L33" s="202">
        <f>IFERROR(IF($I33="Urban",(VLOOKUP($K33,lookup_urban,L$1,FALSE)*$H33*Coverage!H33),IF($I33="Rural",(VLOOKUP($K33,lookup_rural,L$1,FALSE)*$H33*Coverage!G33),(VLOOKUP($K33,lookup_demography,L$1,FALSE)*$H33*Coverage!G33))),0)</f>
        <v>0</v>
      </c>
      <c r="M33" s="202">
        <f>IFERROR(IF($I33="Urban",(VLOOKUP($K33,lookup_urban,M$1,FALSE)*$H33*Coverage!I33),IF($I33="Rural",(VLOOKUP($K33,lookup_rural,M$1,FALSE)*$H33*Coverage!I33),(VLOOKUP($K33,lookup_demography,M$1,FALSE)*$H33*Coverage!I33))),0)</f>
        <v>0</v>
      </c>
      <c r="N33" s="202">
        <f>IFERROR(IF($I33="Urban",(VLOOKUP($K33,lookup_urban,N$1,FALSE)*$H33*Coverage!J33),IF($I33="Rural",(VLOOKUP($K33,lookup_rural,N$1,FALSE)*$H33*Coverage!J33),(VLOOKUP($K33,lookup_demography,N$1,FALSE)*$H33*Coverage!J33))),0)</f>
        <v>0</v>
      </c>
      <c r="O33" s="202">
        <f>IFERROR(IF($I33="Urban",(VLOOKUP($K33,lookup_urban,O$1,FALSE)*$H33*Coverage!K33),IF($I33="Rural",(VLOOKUP($K33,lookup_rural,O$1,FALSE)*$H33*Coverage!K33),(VLOOKUP($K33,lookup_demography,O$1,FALSE)*$H33*Coverage!K33))),0)</f>
        <v>0</v>
      </c>
      <c r="Q33">
        <f>L33*'3. Intervention Details'!$H33</f>
        <v>0</v>
      </c>
      <c r="R33">
        <f>M33*'3. Intervention Details'!$H33</f>
        <v>0</v>
      </c>
      <c r="S33">
        <f>N33*'3. Intervention Details'!$H33</f>
        <v>0</v>
      </c>
      <c r="T33">
        <f>O33*'3. Intervention Details'!$H33</f>
        <v>0</v>
      </c>
      <c r="AA33" s="56" t="str">
        <f>IF('4. Policy Interactive Screen'!F42&lt;&gt;"",'4. Policy Interactive Screen'!F42,"")</f>
        <v/>
      </c>
      <c r="AB33" s="56" t="str">
        <f>IF('4. Policy Interactive Screen'!I42&lt;&gt;"",'4. Policy Interactive Screen'!I42,"")</f>
        <v/>
      </c>
      <c r="AC33" s="56" t="str">
        <f>IF('4. Policy Interactive Screen'!L42&lt;&gt;"",'4. Policy Interactive Screen'!L42,"")</f>
        <v/>
      </c>
      <c r="AD33" s="56" t="str">
        <f>IF('policy interact graph numbers'!AR42&lt;&gt;"",'policy interact graph numbers'!AR42,"")</f>
        <v/>
      </c>
    </row>
    <row r="34" spans="1:30" ht="15" thickBot="1" x14ac:dyDescent="0.45">
      <c r="A34" s="113">
        <v>29</v>
      </c>
      <c r="B34" s="310" t="str">
        <f>IF(Coverage!$B34="","",Coverage!$B34)</f>
        <v/>
      </c>
      <c r="C34" s="34" t="str">
        <f t="shared" si="8"/>
        <v/>
      </c>
      <c r="D34" s="308" t="str">
        <f t="shared" si="3"/>
        <v/>
      </c>
      <c r="E34" s="308" t="str">
        <f t="shared" si="4"/>
        <v/>
      </c>
      <c r="F34" s="308" t="str">
        <f t="shared" si="5"/>
        <v/>
      </c>
      <c r="G34" s="308" t="str">
        <f t="shared" si="6"/>
        <v/>
      </c>
      <c r="H34" s="34" t="str">
        <f t="shared" si="8"/>
        <v/>
      </c>
      <c r="I34" s="34" t="str">
        <f t="shared" si="8"/>
        <v/>
      </c>
      <c r="J34" s="34" t="str">
        <f t="shared" si="8"/>
        <v/>
      </c>
      <c r="K34" s="34" t="str">
        <f t="shared" si="8"/>
        <v/>
      </c>
      <c r="L34" s="202">
        <f>IFERROR(IF($I34="Urban",(VLOOKUP($K34,lookup_urban,L$1,FALSE)*$H34*Coverage!H34),IF($I34="Rural",(VLOOKUP($K34,lookup_rural,L$1,FALSE)*$H34*Coverage!G34),(VLOOKUP($K34,lookup_demography,L$1,FALSE)*$H34*Coverage!G34))),0)</f>
        <v>0</v>
      </c>
      <c r="M34" s="202">
        <f>IFERROR(IF($I34="Urban",(VLOOKUP($K34,lookup_urban,M$1,FALSE)*$H34*Coverage!I34),IF($I34="Rural",(VLOOKUP($K34,lookup_rural,M$1,FALSE)*$H34*Coverage!I34),(VLOOKUP($K34,lookup_demography,M$1,FALSE)*$H34*Coverage!I34))),0)</f>
        <v>0</v>
      </c>
      <c r="N34" s="202">
        <f>IFERROR(IF($I34="Urban",(VLOOKUP($K34,lookup_urban,N$1,FALSE)*$H34*Coverage!J34),IF($I34="Rural",(VLOOKUP($K34,lookup_rural,N$1,FALSE)*$H34*Coverage!J34),(VLOOKUP($K34,lookup_demography,N$1,FALSE)*$H34*Coverage!J34))),0)</f>
        <v>0</v>
      </c>
      <c r="O34" s="202">
        <f>IFERROR(IF($I34="Urban",(VLOOKUP($K34,lookup_urban,O$1,FALSE)*$H34*Coverage!K34),IF($I34="Rural",(VLOOKUP($K34,lookup_rural,O$1,FALSE)*$H34*Coverage!K34),(VLOOKUP($K34,lookup_demography,O$1,FALSE)*$H34*Coverage!K34))),0)</f>
        <v>0</v>
      </c>
      <c r="Q34">
        <f>L34*'3. Intervention Details'!$H34</f>
        <v>0</v>
      </c>
      <c r="R34">
        <f>M34*'3. Intervention Details'!$H34</f>
        <v>0</v>
      </c>
      <c r="S34">
        <f>N34*'3. Intervention Details'!$H34</f>
        <v>0</v>
      </c>
      <c r="T34">
        <f>O34*'3. Intervention Details'!$H34</f>
        <v>0</v>
      </c>
      <c r="AA34" s="56" t="str">
        <f>IF('4. Policy Interactive Screen'!F43&lt;&gt;"",'4. Policy Interactive Screen'!F43,"")</f>
        <v/>
      </c>
      <c r="AB34" s="56" t="str">
        <f>IF('4. Policy Interactive Screen'!I43&lt;&gt;"",'4. Policy Interactive Screen'!I43,"")</f>
        <v/>
      </c>
      <c r="AC34" s="56" t="str">
        <f>IF('4. Policy Interactive Screen'!L43&lt;&gt;"",'4. Policy Interactive Screen'!L43,"")</f>
        <v/>
      </c>
      <c r="AD34" s="56" t="str">
        <f>IF('policy interact graph numbers'!AR43&lt;&gt;"",'policy interact graph numbers'!AR43,"")</f>
        <v/>
      </c>
    </row>
    <row r="35" spans="1:30" ht="15" thickBot="1" x14ac:dyDescent="0.45">
      <c r="A35" s="113">
        <v>30</v>
      </c>
      <c r="B35" s="310" t="str">
        <f>IF(Coverage!$B35="","",Coverage!$B35)</f>
        <v/>
      </c>
      <c r="C35" s="34" t="str">
        <f t="shared" si="8"/>
        <v/>
      </c>
      <c r="D35" s="308" t="str">
        <f t="shared" si="3"/>
        <v/>
      </c>
      <c r="E35" s="308" t="str">
        <f t="shared" si="4"/>
        <v/>
      </c>
      <c r="F35" s="308" t="str">
        <f t="shared" si="5"/>
        <v/>
      </c>
      <c r="G35" s="308" t="str">
        <f t="shared" si="6"/>
        <v/>
      </c>
      <c r="H35" s="34" t="str">
        <f t="shared" si="8"/>
        <v/>
      </c>
      <c r="I35" s="34" t="str">
        <f t="shared" si="8"/>
        <v/>
      </c>
      <c r="J35" s="34" t="str">
        <f t="shared" si="8"/>
        <v/>
      </c>
      <c r="K35" s="34" t="str">
        <f t="shared" si="8"/>
        <v/>
      </c>
      <c r="L35" s="202">
        <f>IFERROR(IF($I35="Urban",(VLOOKUP($K35,lookup_urban,L$1,FALSE)*$H35*Coverage!H35),IF($I35="Rural",(VLOOKUP($K35,lookup_rural,L$1,FALSE)*$H35*Coverage!G35),(VLOOKUP($K35,lookup_demography,L$1,FALSE)*$H35*Coverage!G35))),0)</f>
        <v>0</v>
      </c>
      <c r="M35" s="202">
        <f>IFERROR(IF($I35="Urban",(VLOOKUP($K35,lookup_urban,M$1,FALSE)*$H35*Coverage!I35),IF($I35="Rural",(VLOOKUP($K35,lookup_rural,M$1,FALSE)*$H35*Coverage!I35),(VLOOKUP($K35,lookup_demography,M$1,FALSE)*$H35*Coverage!I35))),0)</f>
        <v>0</v>
      </c>
      <c r="N35" s="202">
        <f>IFERROR(IF($I35="Urban",(VLOOKUP($K35,lookup_urban,N$1,FALSE)*$H35*Coverage!J35),IF($I35="Rural",(VLOOKUP($K35,lookup_rural,N$1,FALSE)*$H35*Coverage!J35),(VLOOKUP($K35,lookup_demography,N$1,FALSE)*$H35*Coverage!J35))),0)</f>
        <v>0</v>
      </c>
      <c r="O35" s="202">
        <f>IFERROR(IF($I35="Urban",(VLOOKUP($K35,lookup_urban,O$1,FALSE)*$H35*Coverage!K35),IF($I35="Rural",(VLOOKUP($K35,lookup_rural,O$1,FALSE)*$H35*Coverage!K35),(VLOOKUP($K35,lookup_demography,O$1,FALSE)*$H35*Coverage!K35))),0)</f>
        <v>0</v>
      </c>
      <c r="Q35">
        <f>L35*'3. Intervention Details'!$H35</f>
        <v>0</v>
      </c>
      <c r="R35">
        <f>M35*'3. Intervention Details'!$H35</f>
        <v>0</v>
      </c>
      <c r="S35">
        <f>N35*'3. Intervention Details'!$H35</f>
        <v>0</v>
      </c>
      <c r="T35">
        <f>O35*'3. Intervention Details'!$H35</f>
        <v>0</v>
      </c>
      <c r="AA35" s="56" t="str">
        <f>IF('4. Policy Interactive Screen'!F44&lt;&gt;"",'4. Policy Interactive Screen'!F44,"")</f>
        <v/>
      </c>
      <c r="AB35" s="56" t="str">
        <f>IF('4. Policy Interactive Screen'!I44&lt;&gt;"",'4. Policy Interactive Screen'!I44,"")</f>
        <v/>
      </c>
      <c r="AC35" s="56" t="str">
        <f>IF('4. Policy Interactive Screen'!L44&lt;&gt;"",'4. Policy Interactive Screen'!L44,"")</f>
        <v/>
      </c>
      <c r="AD35" s="56" t="str">
        <f>IF('policy interact graph numbers'!AR44&lt;&gt;"",'policy interact graph numbers'!AR44,"")</f>
        <v/>
      </c>
    </row>
    <row r="36" spans="1:30" ht="15" thickBot="1" x14ac:dyDescent="0.45">
      <c r="A36" s="113">
        <v>31</v>
      </c>
      <c r="B36" s="310" t="str">
        <f>IF(Coverage!$B36="","",Coverage!$B36)</f>
        <v/>
      </c>
      <c r="C36" s="34" t="str">
        <f t="shared" ref="C36:K51" si="9">IFERROR((VLOOKUP($B36,lookup_masterlist,C$1,FALSE)),"")</f>
        <v/>
      </c>
      <c r="D36" s="308" t="str">
        <f t="shared" si="3"/>
        <v/>
      </c>
      <c r="E36" s="308" t="str">
        <f t="shared" si="4"/>
        <v/>
      </c>
      <c r="F36" s="308" t="str">
        <f t="shared" si="5"/>
        <v/>
      </c>
      <c r="G36" s="308" t="str">
        <f t="shared" si="6"/>
        <v/>
      </c>
      <c r="H36" s="34" t="str">
        <f t="shared" si="9"/>
        <v/>
      </c>
      <c r="I36" s="34" t="str">
        <f t="shared" si="8"/>
        <v/>
      </c>
      <c r="J36" s="34" t="str">
        <f t="shared" si="9"/>
        <v/>
      </c>
      <c r="K36" s="34" t="str">
        <f t="shared" si="9"/>
        <v/>
      </c>
      <c r="L36" s="202">
        <f>IFERROR(IF($I36="Urban",(VLOOKUP($K36,lookup_urban,L$1,FALSE)*$H36*Coverage!H36),IF($I36="Rural",(VLOOKUP($K36,lookup_rural,L$1,FALSE)*$H36*Coverage!G36),(VLOOKUP($K36,lookup_demography,L$1,FALSE)*$H36*Coverage!G36))),0)</f>
        <v>0</v>
      </c>
      <c r="M36" s="202">
        <f>IFERROR(IF($I36="Urban",(VLOOKUP($K36,lookup_urban,M$1,FALSE)*$H36*Coverage!I36),IF($I36="Rural",(VLOOKUP($K36,lookup_rural,M$1,FALSE)*$H36*Coverage!I36),(VLOOKUP($K36,lookup_demography,M$1,FALSE)*$H36*Coverage!I36))),0)</f>
        <v>0</v>
      </c>
      <c r="N36" s="202">
        <f>IFERROR(IF($I36="Urban",(VLOOKUP($K36,lookup_urban,N$1,FALSE)*$H36*Coverage!J36),IF($I36="Rural",(VLOOKUP($K36,lookup_rural,N$1,FALSE)*$H36*Coverage!J36),(VLOOKUP($K36,lookup_demography,N$1,FALSE)*$H36*Coverage!J36))),0)</f>
        <v>0</v>
      </c>
      <c r="O36" s="202">
        <f>IFERROR(IF($I36="Urban",(VLOOKUP($K36,lookup_urban,O$1,FALSE)*$H36*Coverage!K36),IF($I36="Rural",(VLOOKUP($K36,lookup_rural,O$1,FALSE)*$H36*Coverage!K36),(VLOOKUP($K36,lookup_demography,O$1,FALSE)*$H36*Coverage!K36))),0)</f>
        <v>0</v>
      </c>
      <c r="Q36">
        <f>L36*'3. Intervention Details'!$H36</f>
        <v>0</v>
      </c>
      <c r="R36">
        <f>M36*'3. Intervention Details'!$H36</f>
        <v>0</v>
      </c>
      <c r="S36">
        <f>N36*'3. Intervention Details'!$H36</f>
        <v>0</v>
      </c>
      <c r="T36">
        <f>O36*'3. Intervention Details'!$H36</f>
        <v>0</v>
      </c>
      <c r="AA36" s="56" t="str">
        <f>IF('4. Policy Interactive Screen'!F45&lt;&gt;"",'4. Policy Interactive Screen'!F45,"")</f>
        <v/>
      </c>
      <c r="AB36" s="56" t="str">
        <f>IF('4. Policy Interactive Screen'!I45&lt;&gt;"",'4. Policy Interactive Screen'!I45,"")</f>
        <v/>
      </c>
      <c r="AC36" s="56" t="str">
        <f>IF('4. Policy Interactive Screen'!L45&lt;&gt;"",'4. Policy Interactive Screen'!L45,"")</f>
        <v/>
      </c>
      <c r="AD36" s="56" t="str">
        <f>IF('policy interact graph numbers'!AR45&lt;&gt;"",'policy interact graph numbers'!AR45,"")</f>
        <v/>
      </c>
    </row>
    <row r="37" spans="1:30" ht="15" thickBot="1" x14ac:dyDescent="0.45">
      <c r="A37" s="113">
        <v>32</v>
      </c>
      <c r="B37" s="310" t="str">
        <f>IF(Coverage!$B37="","",Coverage!$B37)</f>
        <v/>
      </c>
      <c r="C37" s="34" t="str">
        <f t="shared" si="9"/>
        <v/>
      </c>
      <c r="D37" s="308" t="str">
        <f t="shared" si="3"/>
        <v/>
      </c>
      <c r="E37" s="308" t="str">
        <f t="shared" si="4"/>
        <v/>
      </c>
      <c r="F37" s="308" t="str">
        <f t="shared" si="5"/>
        <v/>
      </c>
      <c r="G37" s="308" t="str">
        <f t="shared" si="6"/>
        <v/>
      </c>
      <c r="H37" s="34" t="str">
        <f t="shared" si="9"/>
        <v/>
      </c>
      <c r="I37" s="34" t="str">
        <f t="shared" si="8"/>
        <v/>
      </c>
      <c r="J37" s="34" t="str">
        <f t="shared" si="9"/>
        <v/>
      </c>
      <c r="K37" s="34" t="str">
        <f t="shared" si="9"/>
        <v/>
      </c>
      <c r="L37" s="202">
        <f>IFERROR(IF($I37="Urban",(VLOOKUP($K37,lookup_urban,L$1,FALSE)*$H37*Coverage!H37),IF($I37="Rural",(VLOOKUP($K37,lookup_rural,L$1,FALSE)*$H37*Coverage!G37),(VLOOKUP($K37,lookup_demography,L$1,FALSE)*$H37*Coverage!G37))),0)</f>
        <v>0</v>
      </c>
      <c r="M37" s="202">
        <f>IFERROR(IF($I37="Urban",(VLOOKUP($K37,lookup_urban,M$1,FALSE)*$H37*Coverage!I37),IF($I37="Rural",(VLOOKUP($K37,lookup_rural,M$1,FALSE)*$H37*Coverage!I37),(VLOOKUP($K37,lookup_demography,M$1,FALSE)*$H37*Coverage!I37))),0)</f>
        <v>0</v>
      </c>
      <c r="N37" s="202">
        <f>IFERROR(IF($I37="Urban",(VLOOKUP($K37,lookup_urban,N$1,FALSE)*$H37*Coverage!J37),IF($I37="Rural",(VLOOKUP($K37,lookup_rural,N$1,FALSE)*$H37*Coverage!J37),(VLOOKUP($K37,lookup_demography,N$1,FALSE)*$H37*Coverage!J37))),0)</f>
        <v>0</v>
      </c>
      <c r="O37" s="202">
        <f>IFERROR(IF($I37="Urban",(VLOOKUP($K37,lookup_urban,O$1,FALSE)*$H37*Coverage!K37),IF($I37="Rural",(VLOOKUP($K37,lookup_rural,O$1,FALSE)*$H37*Coverage!K37),(VLOOKUP($K37,lookup_demography,O$1,FALSE)*$H37*Coverage!K37))),0)</f>
        <v>0</v>
      </c>
      <c r="Q37">
        <f>L37*'3. Intervention Details'!$H37</f>
        <v>0</v>
      </c>
      <c r="R37">
        <f>M37*'3. Intervention Details'!$H37</f>
        <v>0</v>
      </c>
      <c r="S37">
        <f>N37*'3. Intervention Details'!$H37</f>
        <v>0</v>
      </c>
      <c r="T37">
        <f>O37*'3. Intervention Details'!$H37</f>
        <v>0</v>
      </c>
      <c r="AA37" s="56" t="str">
        <f>IF('4. Policy Interactive Screen'!F46&lt;&gt;"",'4. Policy Interactive Screen'!F46,"")</f>
        <v/>
      </c>
      <c r="AB37" s="56" t="str">
        <f>IF('4. Policy Interactive Screen'!I46&lt;&gt;"",'4. Policy Interactive Screen'!I46,"")</f>
        <v/>
      </c>
      <c r="AC37" s="56" t="str">
        <f>IF('4. Policy Interactive Screen'!L46&lt;&gt;"",'4. Policy Interactive Screen'!L46,"")</f>
        <v/>
      </c>
      <c r="AD37" s="56" t="str">
        <f>IF('policy interact graph numbers'!AR46&lt;&gt;"",'policy interact graph numbers'!AR46,"")</f>
        <v/>
      </c>
    </row>
    <row r="38" spans="1:30" ht="15" thickBot="1" x14ac:dyDescent="0.45">
      <c r="A38" s="113">
        <v>33</v>
      </c>
      <c r="B38" s="310" t="str">
        <f>IF(Coverage!$B38="","",Coverage!$B38)</f>
        <v/>
      </c>
      <c r="C38" s="34" t="str">
        <f t="shared" si="9"/>
        <v/>
      </c>
      <c r="D38" s="308" t="str">
        <f t="shared" si="3"/>
        <v/>
      </c>
      <c r="E38" s="308" t="str">
        <f t="shared" si="4"/>
        <v/>
      </c>
      <c r="F38" s="308" t="str">
        <f t="shared" si="5"/>
        <v/>
      </c>
      <c r="G38" s="308" t="str">
        <f t="shared" si="6"/>
        <v/>
      </c>
      <c r="H38" s="34" t="str">
        <f t="shared" si="9"/>
        <v/>
      </c>
      <c r="I38" s="34" t="str">
        <f t="shared" si="8"/>
        <v/>
      </c>
      <c r="J38" s="34" t="str">
        <f t="shared" si="9"/>
        <v/>
      </c>
      <c r="K38" s="34" t="str">
        <f t="shared" si="9"/>
        <v/>
      </c>
      <c r="L38" s="202">
        <f>IFERROR(IF($I38="Urban",(VLOOKUP($K38,lookup_urban,L$1,FALSE)*$H38*Coverage!H38),IF($I38="Rural",(VLOOKUP($K38,lookup_rural,L$1,FALSE)*$H38*Coverage!G38),(VLOOKUP($K38,lookup_demography,L$1,FALSE)*$H38*Coverage!G38))),0)</f>
        <v>0</v>
      </c>
      <c r="M38" s="202">
        <f>IFERROR(IF($I38="Urban",(VLOOKUP($K38,lookup_urban,M$1,FALSE)*$H38*Coverage!I38),IF($I38="Rural",(VLOOKUP($K38,lookup_rural,M$1,FALSE)*$H38*Coverage!I38),(VLOOKUP($K38,lookup_demography,M$1,FALSE)*$H38*Coverage!I38))),0)</f>
        <v>0</v>
      </c>
      <c r="N38" s="202">
        <f>IFERROR(IF($I38="Urban",(VLOOKUP($K38,lookup_urban,N$1,FALSE)*$H38*Coverage!J38),IF($I38="Rural",(VLOOKUP($K38,lookup_rural,N$1,FALSE)*$H38*Coverage!J38),(VLOOKUP($K38,lookup_demography,N$1,FALSE)*$H38*Coverage!J38))),0)</f>
        <v>0</v>
      </c>
      <c r="O38" s="202">
        <f>IFERROR(IF($I38="Urban",(VLOOKUP($K38,lookup_urban,O$1,FALSE)*$H38*Coverage!K38),IF($I38="Rural",(VLOOKUP($K38,lookup_rural,O$1,FALSE)*$H38*Coverage!K38),(VLOOKUP($K38,lookup_demography,O$1,FALSE)*$H38*Coverage!K38))),0)</f>
        <v>0</v>
      </c>
      <c r="Q38">
        <f>L38*'3. Intervention Details'!$H38</f>
        <v>0</v>
      </c>
      <c r="R38">
        <f>M38*'3. Intervention Details'!$H38</f>
        <v>0</v>
      </c>
      <c r="S38">
        <f>N38*'3. Intervention Details'!$H38</f>
        <v>0</v>
      </c>
      <c r="T38">
        <f>O38*'3. Intervention Details'!$H38</f>
        <v>0</v>
      </c>
      <c r="AA38" s="56" t="str">
        <f>IF('4. Policy Interactive Screen'!F47&lt;&gt;"",'4. Policy Interactive Screen'!F47,"")</f>
        <v/>
      </c>
      <c r="AB38" s="56" t="str">
        <f>IF('4. Policy Interactive Screen'!I47&lt;&gt;"",'4. Policy Interactive Screen'!I47,"")</f>
        <v/>
      </c>
      <c r="AC38" s="56" t="str">
        <f>IF('4. Policy Interactive Screen'!L47&lt;&gt;"",'4. Policy Interactive Screen'!L47,"")</f>
        <v/>
      </c>
      <c r="AD38" s="56" t="str">
        <f>IF('policy interact graph numbers'!AR47&lt;&gt;"",'policy interact graph numbers'!AR47,"")</f>
        <v/>
      </c>
    </row>
    <row r="39" spans="1:30" ht="15" thickBot="1" x14ac:dyDescent="0.45">
      <c r="A39" s="113">
        <v>34</v>
      </c>
      <c r="B39" s="310" t="str">
        <f>IF(Coverage!$B39="","",Coverage!$B39)</f>
        <v/>
      </c>
      <c r="C39" s="34" t="str">
        <f t="shared" si="9"/>
        <v/>
      </c>
      <c r="D39" s="308" t="str">
        <f t="shared" si="3"/>
        <v/>
      </c>
      <c r="E39" s="308" t="str">
        <f t="shared" si="4"/>
        <v/>
      </c>
      <c r="F39" s="308" t="str">
        <f t="shared" si="5"/>
        <v/>
      </c>
      <c r="G39" s="308" t="str">
        <f t="shared" si="6"/>
        <v/>
      </c>
      <c r="H39" s="34" t="str">
        <f t="shared" si="9"/>
        <v/>
      </c>
      <c r="I39" s="34" t="str">
        <f t="shared" si="8"/>
        <v/>
      </c>
      <c r="J39" s="34" t="str">
        <f t="shared" si="9"/>
        <v/>
      </c>
      <c r="K39" s="34" t="str">
        <f t="shared" si="9"/>
        <v/>
      </c>
      <c r="L39" s="202">
        <f>IFERROR(IF($I39="Urban",(VLOOKUP($K39,lookup_urban,L$1,FALSE)*$H39*Coverage!H39),IF($I39="Rural",(VLOOKUP($K39,lookup_rural,L$1,FALSE)*$H39*Coverage!G39),(VLOOKUP($K39,lookup_demography,L$1,FALSE)*$H39*Coverage!G39))),0)</f>
        <v>0</v>
      </c>
      <c r="M39" s="202">
        <f>IFERROR(IF($I39="Urban",(VLOOKUP($K39,lookup_urban,M$1,FALSE)*$H39*Coverage!I39),IF($I39="Rural",(VLOOKUP($K39,lookup_rural,M$1,FALSE)*$H39*Coverage!I39),(VLOOKUP($K39,lookup_demography,M$1,FALSE)*$H39*Coverage!I39))),0)</f>
        <v>0</v>
      </c>
      <c r="N39" s="202">
        <f>IFERROR(IF($I39="Urban",(VLOOKUP($K39,lookup_urban,N$1,FALSE)*$H39*Coverage!J39),IF($I39="Rural",(VLOOKUP($K39,lookup_rural,N$1,FALSE)*$H39*Coverage!J39),(VLOOKUP($K39,lookup_demography,N$1,FALSE)*$H39*Coverage!J39))),0)</f>
        <v>0</v>
      </c>
      <c r="O39" s="202">
        <f>IFERROR(IF($I39="Urban",(VLOOKUP($K39,lookup_urban,O$1,FALSE)*$H39*Coverage!K39),IF($I39="Rural",(VLOOKUP($K39,lookup_rural,O$1,FALSE)*$H39*Coverage!K39),(VLOOKUP($K39,lookup_demography,O$1,FALSE)*$H39*Coverage!K39))),0)</f>
        <v>0</v>
      </c>
      <c r="Q39">
        <f>L39*'3. Intervention Details'!$H39</f>
        <v>0</v>
      </c>
      <c r="R39">
        <f>M39*'3. Intervention Details'!$H39</f>
        <v>0</v>
      </c>
      <c r="S39">
        <f>N39*'3. Intervention Details'!$H39</f>
        <v>0</v>
      </c>
      <c r="T39">
        <f>O39*'3. Intervention Details'!$H39</f>
        <v>0</v>
      </c>
      <c r="AA39" s="56" t="str">
        <f>IF('4. Policy Interactive Screen'!F48&lt;&gt;"",'4. Policy Interactive Screen'!F48,"")</f>
        <v/>
      </c>
      <c r="AB39" s="56" t="str">
        <f>IF('4. Policy Interactive Screen'!I48&lt;&gt;"",'4. Policy Interactive Screen'!I48,"")</f>
        <v/>
      </c>
      <c r="AC39" s="56" t="str">
        <f>IF('4. Policy Interactive Screen'!L48&lt;&gt;"",'4. Policy Interactive Screen'!L48,"")</f>
        <v/>
      </c>
      <c r="AD39" s="56" t="str">
        <f>IF('policy interact graph numbers'!AR48&lt;&gt;"",'policy interact graph numbers'!AR48,"")</f>
        <v/>
      </c>
    </row>
    <row r="40" spans="1:30" ht="15" thickBot="1" x14ac:dyDescent="0.45">
      <c r="A40" s="113">
        <v>35</v>
      </c>
      <c r="B40" s="310" t="str">
        <f>IF(Coverage!$B40="","",Coverage!$B40)</f>
        <v/>
      </c>
      <c r="C40" s="34" t="str">
        <f t="shared" si="9"/>
        <v/>
      </c>
      <c r="D40" s="308" t="str">
        <f t="shared" si="3"/>
        <v/>
      </c>
      <c r="E40" s="308" t="str">
        <f t="shared" si="4"/>
        <v/>
      </c>
      <c r="F40" s="308" t="str">
        <f t="shared" si="5"/>
        <v/>
      </c>
      <c r="G40" s="308" t="str">
        <f t="shared" si="6"/>
        <v/>
      </c>
      <c r="H40" s="34" t="str">
        <f t="shared" si="9"/>
        <v/>
      </c>
      <c r="I40" s="34" t="str">
        <f t="shared" si="8"/>
        <v/>
      </c>
      <c r="J40" s="34" t="str">
        <f t="shared" si="9"/>
        <v/>
      </c>
      <c r="K40" s="34" t="str">
        <f t="shared" si="9"/>
        <v/>
      </c>
      <c r="L40" s="202">
        <f>IFERROR(IF($I40="Urban",(VLOOKUP($K40,lookup_urban,L$1,FALSE)*$H40*Coverage!H40),IF($I40="Rural",(VLOOKUP($K40,lookup_rural,L$1,FALSE)*$H40*Coverage!G40),(VLOOKUP($K40,lookup_demography,L$1,FALSE)*$H40*Coverage!G40))),0)</f>
        <v>0</v>
      </c>
      <c r="M40" s="202">
        <f>IFERROR(IF($I40="Urban",(VLOOKUP($K40,lookup_urban,M$1,FALSE)*$H40*Coverage!I40),IF($I40="Rural",(VLOOKUP($K40,lookup_rural,M$1,FALSE)*$H40*Coverage!I40),(VLOOKUP($K40,lookup_demography,M$1,FALSE)*$H40*Coverage!I40))),0)</f>
        <v>0</v>
      </c>
      <c r="N40" s="202">
        <f>IFERROR(IF($I40="Urban",(VLOOKUP($K40,lookup_urban,N$1,FALSE)*$H40*Coverage!J40),IF($I40="Rural",(VLOOKUP($K40,lookup_rural,N$1,FALSE)*$H40*Coverage!J40),(VLOOKUP($K40,lookup_demography,N$1,FALSE)*$H40*Coverage!J40))),0)</f>
        <v>0</v>
      </c>
      <c r="O40" s="202">
        <f>IFERROR(IF($I40="Urban",(VLOOKUP($K40,lookup_urban,O$1,FALSE)*$H40*Coverage!K40),IF($I40="Rural",(VLOOKUP($K40,lookup_rural,O$1,FALSE)*$H40*Coverage!K40),(VLOOKUP($K40,lookup_demography,O$1,FALSE)*$H40*Coverage!K40))),0)</f>
        <v>0</v>
      </c>
      <c r="Q40">
        <f>L40*'3. Intervention Details'!$H40</f>
        <v>0</v>
      </c>
      <c r="R40">
        <f>M40*'3. Intervention Details'!$H40</f>
        <v>0</v>
      </c>
      <c r="S40">
        <f>N40*'3. Intervention Details'!$H40</f>
        <v>0</v>
      </c>
      <c r="T40">
        <f>O40*'3. Intervention Details'!$H40</f>
        <v>0</v>
      </c>
      <c r="AA40" s="56" t="str">
        <f>IF('4. Policy Interactive Screen'!F49&lt;&gt;"",'4. Policy Interactive Screen'!F49,"")</f>
        <v/>
      </c>
      <c r="AB40" s="56" t="str">
        <f>IF('4. Policy Interactive Screen'!I49&lt;&gt;"",'4. Policy Interactive Screen'!I49,"")</f>
        <v/>
      </c>
      <c r="AC40" s="56" t="str">
        <f>IF('4. Policy Interactive Screen'!L49&lt;&gt;"",'4. Policy Interactive Screen'!L49,"")</f>
        <v/>
      </c>
      <c r="AD40" s="56" t="str">
        <f>IF('policy interact graph numbers'!AR49&lt;&gt;"",'policy interact graph numbers'!AR49,"")</f>
        <v/>
      </c>
    </row>
    <row r="41" spans="1:30" ht="15" thickBot="1" x14ac:dyDescent="0.45">
      <c r="A41" s="113">
        <v>36</v>
      </c>
      <c r="B41" s="310" t="str">
        <f>IF(Coverage!$B41="","",Coverage!$B41)</f>
        <v/>
      </c>
      <c r="C41" s="34" t="str">
        <f t="shared" si="9"/>
        <v/>
      </c>
      <c r="D41" s="308" t="str">
        <f t="shared" si="3"/>
        <v/>
      </c>
      <c r="E41" s="308" t="str">
        <f t="shared" si="4"/>
        <v/>
      </c>
      <c r="F41" s="308" t="str">
        <f t="shared" si="5"/>
        <v/>
      </c>
      <c r="G41" s="308" t="str">
        <f t="shared" si="6"/>
        <v/>
      </c>
      <c r="H41" s="34" t="str">
        <f t="shared" si="9"/>
        <v/>
      </c>
      <c r="I41" s="34" t="str">
        <f t="shared" si="8"/>
        <v/>
      </c>
      <c r="J41" s="34" t="str">
        <f t="shared" si="9"/>
        <v/>
      </c>
      <c r="K41" s="34" t="str">
        <f t="shared" si="9"/>
        <v/>
      </c>
      <c r="L41" s="202">
        <f>IFERROR(IF($I41="Urban",(VLOOKUP($K41,lookup_urban,L$1,FALSE)*$H41*Coverage!H41),IF($I41="Rural",(VLOOKUP($K41,lookup_rural,L$1,FALSE)*$H41*Coverage!G41),(VLOOKUP($K41,lookup_demography,L$1,FALSE)*$H41*Coverage!G41))),0)</f>
        <v>0</v>
      </c>
      <c r="M41" s="202">
        <f>IFERROR(IF($I41="Urban",(VLOOKUP($K41,lookup_urban,M$1,FALSE)*$H41*Coverage!I41),IF($I41="Rural",(VLOOKUP($K41,lookup_rural,M$1,FALSE)*$H41*Coverage!I41),(VLOOKUP($K41,lookup_demography,M$1,FALSE)*$H41*Coverage!I41))),0)</f>
        <v>0</v>
      </c>
      <c r="N41" s="202">
        <f>IFERROR(IF($I41="Urban",(VLOOKUP($K41,lookup_urban,N$1,FALSE)*$H41*Coverage!J41),IF($I41="Rural",(VLOOKUP($K41,lookup_rural,N$1,FALSE)*$H41*Coverage!J41),(VLOOKUP($K41,lookup_demography,N$1,FALSE)*$H41*Coverage!J41))),0)</f>
        <v>0</v>
      </c>
      <c r="O41" s="202">
        <f>IFERROR(IF($I41="Urban",(VLOOKUP($K41,lookup_urban,O$1,FALSE)*$H41*Coverage!K41),IF($I41="Rural",(VLOOKUP($K41,lookup_rural,O$1,FALSE)*$H41*Coverage!K41),(VLOOKUP($K41,lookup_demography,O$1,FALSE)*$H41*Coverage!K41))),0)</f>
        <v>0</v>
      </c>
      <c r="Q41">
        <f>L41*'3. Intervention Details'!$H41</f>
        <v>0</v>
      </c>
      <c r="R41">
        <f>M41*'3. Intervention Details'!$H41</f>
        <v>0</v>
      </c>
      <c r="S41">
        <f>N41*'3. Intervention Details'!$H41</f>
        <v>0</v>
      </c>
      <c r="T41">
        <f>O41*'3. Intervention Details'!$H41</f>
        <v>0</v>
      </c>
      <c r="AA41" s="56" t="str">
        <f>IF('4. Policy Interactive Screen'!F50&lt;&gt;"",'4. Policy Interactive Screen'!F50,"")</f>
        <v/>
      </c>
      <c r="AB41" s="56" t="str">
        <f>IF('4. Policy Interactive Screen'!I50&lt;&gt;"",'4. Policy Interactive Screen'!I50,"")</f>
        <v/>
      </c>
      <c r="AC41" s="56" t="str">
        <f>IF('4. Policy Interactive Screen'!L50&lt;&gt;"",'4. Policy Interactive Screen'!L50,"")</f>
        <v/>
      </c>
      <c r="AD41" s="56" t="str">
        <f>IF('policy interact graph numbers'!AR50&lt;&gt;"",'policy interact graph numbers'!AR50,"")</f>
        <v/>
      </c>
    </row>
    <row r="42" spans="1:30" ht="15" thickBot="1" x14ac:dyDescent="0.45">
      <c r="A42" s="113">
        <v>37</v>
      </c>
      <c r="B42" s="310" t="str">
        <f>IF(Coverage!$B42="","",Coverage!$B42)</f>
        <v/>
      </c>
      <c r="C42" s="34" t="str">
        <f t="shared" si="9"/>
        <v/>
      </c>
      <c r="D42" s="308" t="str">
        <f t="shared" si="3"/>
        <v/>
      </c>
      <c r="E42" s="308" t="str">
        <f t="shared" si="4"/>
        <v/>
      </c>
      <c r="F42" s="308" t="str">
        <f t="shared" si="5"/>
        <v/>
      </c>
      <c r="G42" s="308" t="str">
        <f t="shared" si="6"/>
        <v/>
      </c>
      <c r="H42" s="34" t="str">
        <f t="shared" si="9"/>
        <v/>
      </c>
      <c r="I42" s="34" t="str">
        <f t="shared" si="9"/>
        <v/>
      </c>
      <c r="J42" s="34" t="str">
        <f t="shared" si="9"/>
        <v/>
      </c>
      <c r="K42" s="34" t="str">
        <f t="shared" si="9"/>
        <v/>
      </c>
      <c r="L42" s="202">
        <f>IFERROR(IF($I42="Urban",(VLOOKUP($K42,lookup_urban,L$1,FALSE)*$H42*Coverage!H42),IF($I42="Rural",(VLOOKUP($K42,lookup_rural,L$1,FALSE)*$H42*Coverage!G42),(VLOOKUP($K42,lookup_demography,L$1,FALSE)*$H42*Coverage!G42))),0)</f>
        <v>0</v>
      </c>
      <c r="M42" s="202">
        <f>IFERROR(IF($I42="Urban",(VLOOKUP($K42,lookup_urban,M$1,FALSE)*$H42*Coverage!I42),IF($I42="Rural",(VLOOKUP($K42,lookup_rural,M$1,FALSE)*$H42*Coverage!I42),(VLOOKUP($K42,lookup_demography,M$1,FALSE)*$H42*Coverage!I42))),0)</f>
        <v>0</v>
      </c>
      <c r="N42" s="202">
        <f>IFERROR(IF($I42="Urban",(VLOOKUP($K42,lookup_urban,N$1,FALSE)*$H42*Coverage!J42),IF($I42="Rural",(VLOOKUP($K42,lookup_rural,N$1,FALSE)*$H42*Coverage!J42),(VLOOKUP($K42,lookup_demography,N$1,FALSE)*$H42*Coverage!J42))),0)</f>
        <v>0</v>
      </c>
      <c r="O42" s="202">
        <f>IFERROR(IF($I42="Urban",(VLOOKUP($K42,lookup_urban,O$1,FALSE)*$H42*Coverage!K42),IF($I42="Rural",(VLOOKUP($K42,lookup_rural,O$1,FALSE)*$H42*Coverage!K42),(VLOOKUP($K42,lookup_demography,O$1,FALSE)*$H42*Coverage!K42))),0)</f>
        <v>0</v>
      </c>
      <c r="Q42">
        <f>L42*'3. Intervention Details'!$H42</f>
        <v>0</v>
      </c>
      <c r="R42">
        <f>M42*'3. Intervention Details'!$H42</f>
        <v>0</v>
      </c>
      <c r="S42">
        <f>N42*'3. Intervention Details'!$H42</f>
        <v>0</v>
      </c>
      <c r="T42">
        <f>O42*'3. Intervention Details'!$H42</f>
        <v>0</v>
      </c>
      <c r="AA42" s="56" t="str">
        <f>IF('4. Policy Interactive Screen'!F51&lt;&gt;"",'4. Policy Interactive Screen'!F51,"")</f>
        <v/>
      </c>
      <c r="AB42" s="56" t="str">
        <f>IF('4. Policy Interactive Screen'!I51&lt;&gt;"",'4. Policy Interactive Screen'!I51,"")</f>
        <v/>
      </c>
      <c r="AC42" s="56" t="str">
        <f>IF('4. Policy Interactive Screen'!L51&lt;&gt;"",'4. Policy Interactive Screen'!L51,"")</f>
        <v/>
      </c>
      <c r="AD42" s="56" t="str">
        <f>IF('policy interact graph numbers'!AR51&lt;&gt;"",'policy interact graph numbers'!AR51,"")</f>
        <v/>
      </c>
    </row>
    <row r="43" spans="1:30" ht="15" thickBot="1" x14ac:dyDescent="0.45">
      <c r="A43" s="113">
        <v>38</v>
      </c>
      <c r="B43" s="310" t="str">
        <f>IF(Coverage!$B43="","",Coverage!$B43)</f>
        <v/>
      </c>
      <c r="C43" s="34" t="str">
        <f t="shared" si="9"/>
        <v/>
      </c>
      <c r="D43" s="308" t="str">
        <f t="shared" si="3"/>
        <v/>
      </c>
      <c r="E43" s="308" t="str">
        <f t="shared" si="4"/>
        <v/>
      </c>
      <c r="F43" s="308" t="str">
        <f t="shared" si="5"/>
        <v/>
      </c>
      <c r="G43" s="308" t="str">
        <f t="shared" si="6"/>
        <v/>
      </c>
      <c r="H43" s="34" t="str">
        <f t="shared" si="9"/>
        <v/>
      </c>
      <c r="I43" s="34" t="str">
        <f t="shared" si="9"/>
        <v/>
      </c>
      <c r="J43" s="34" t="str">
        <f t="shared" si="9"/>
        <v/>
      </c>
      <c r="K43" s="34" t="str">
        <f t="shared" si="9"/>
        <v/>
      </c>
      <c r="L43" s="202">
        <f>IFERROR(IF($I43="Urban",(VLOOKUP($K43,lookup_urban,L$1,FALSE)*$H43*Coverage!H43),IF($I43="Rural",(VLOOKUP($K43,lookup_rural,L$1,FALSE)*$H43*Coverage!G43),(VLOOKUP($K43,lookup_demography,L$1,FALSE)*$H43*Coverage!G43))),0)</f>
        <v>0</v>
      </c>
      <c r="M43" s="202">
        <f>IFERROR(IF($I43="Urban",(VLOOKUP($K43,lookup_urban,M$1,FALSE)*$H43*Coverage!I43),IF($I43="Rural",(VLOOKUP($K43,lookup_rural,M$1,FALSE)*$H43*Coverage!I43),(VLOOKUP($K43,lookup_demography,M$1,FALSE)*$H43*Coverage!I43))),0)</f>
        <v>0</v>
      </c>
      <c r="N43" s="202">
        <f>IFERROR(IF($I43="Urban",(VLOOKUP($K43,lookup_urban,N$1,FALSE)*$H43*Coverage!J43),IF($I43="Rural",(VLOOKUP($K43,lookup_rural,N$1,FALSE)*$H43*Coverage!J43),(VLOOKUP($K43,lookup_demography,N$1,FALSE)*$H43*Coverage!J43))),0)</f>
        <v>0</v>
      </c>
      <c r="O43" s="202">
        <f>IFERROR(IF($I43="Urban",(VLOOKUP($K43,lookup_urban,O$1,FALSE)*$H43*Coverage!K43),IF($I43="Rural",(VLOOKUP($K43,lookup_rural,O$1,FALSE)*$H43*Coverage!K43),(VLOOKUP($K43,lookup_demography,O$1,FALSE)*$H43*Coverage!K43))),0)</f>
        <v>0</v>
      </c>
      <c r="Q43">
        <f>L43*'3. Intervention Details'!$H43</f>
        <v>0</v>
      </c>
      <c r="R43">
        <f>M43*'3. Intervention Details'!$H43</f>
        <v>0</v>
      </c>
      <c r="S43">
        <f>N43*'3. Intervention Details'!$H43</f>
        <v>0</v>
      </c>
      <c r="T43">
        <f>O43*'3. Intervention Details'!$H43</f>
        <v>0</v>
      </c>
      <c r="AA43" s="56" t="str">
        <f>IF('4. Policy Interactive Screen'!F52&lt;&gt;"",'4. Policy Interactive Screen'!F52,"")</f>
        <v/>
      </c>
      <c r="AB43" s="56" t="str">
        <f>IF('4. Policy Interactive Screen'!I52&lt;&gt;"",'4. Policy Interactive Screen'!I52,"")</f>
        <v/>
      </c>
      <c r="AC43" s="56" t="str">
        <f>IF('4. Policy Interactive Screen'!L52&lt;&gt;"",'4. Policy Interactive Screen'!L52,"")</f>
        <v/>
      </c>
      <c r="AD43" s="56" t="str">
        <f>IF('policy interact graph numbers'!AR52&lt;&gt;"",'policy interact graph numbers'!AR52,"")</f>
        <v/>
      </c>
    </row>
    <row r="44" spans="1:30" ht="15" thickBot="1" x14ac:dyDescent="0.45">
      <c r="A44" s="113">
        <v>39</v>
      </c>
      <c r="B44" s="310" t="str">
        <f>IF(Coverage!$B44="","",Coverage!$B44)</f>
        <v/>
      </c>
      <c r="C44" s="34" t="str">
        <f t="shared" si="9"/>
        <v/>
      </c>
      <c r="D44" s="308" t="str">
        <f t="shared" si="3"/>
        <v/>
      </c>
      <c r="E44" s="308" t="str">
        <f t="shared" si="4"/>
        <v/>
      </c>
      <c r="F44" s="308" t="str">
        <f t="shared" si="5"/>
        <v/>
      </c>
      <c r="G44" s="308" t="str">
        <f t="shared" si="6"/>
        <v/>
      </c>
      <c r="H44" s="34" t="str">
        <f t="shared" si="9"/>
        <v/>
      </c>
      <c r="I44" s="34" t="str">
        <f t="shared" si="9"/>
        <v/>
      </c>
      <c r="J44" s="34" t="str">
        <f t="shared" si="9"/>
        <v/>
      </c>
      <c r="K44" s="34" t="str">
        <f t="shared" si="9"/>
        <v/>
      </c>
      <c r="L44" s="202">
        <f>IFERROR(IF($I44="Urban",(VLOOKUP($K44,lookup_urban,L$1,FALSE)*$H44*Coverage!H44),IF($I44="Rural",(VLOOKUP($K44,lookup_rural,L$1,FALSE)*$H44*Coverage!G44),(VLOOKUP($K44,lookup_demography,L$1,FALSE)*$H44*Coverage!G44))),0)</f>
        <v>0</v>
      </c>
      <c r="M44" s="202">
        <f>IFERROR(IF($I44="Urban",(VLOOKUP($K44,lookup_urban,M$1,FALSE)*$H44*Coverage!I44),IF($I44="Rural",(VLOOKUP($K44,lookup_rural,M$1,FALSE)*$H44*Coverage!I44),(VLOOKUP($K44,lookup_demography,M$1,FALSE)*$H44*Coverage!I44))),0)</f>
        <v>0</v>
      </c>
      <c r="N44" s="202">
        <f>IFERROR(IF($I44="Urban",(VLOOKUP($K44,lookup_urban,N$1,FALSE)*$H44*Coverage!J44),IF($I44="Rural",(VLOOKUP($K44,lookup_rural,N$1,FALSE)*$H44*Coverage!J44),(VLOOKUP($K44,lookup_demography,N$1,FALSE)*$H44*Coverage!J44))),0)</f>
        <v>0</v>
      </c>
      <c r="O44" s="202">
        <f>IFERROR(IF($I44="Urban",(VLOOKUP($K44,lookup_urban,O$1,FALSE)*$H44*Coverage!K44),IF($I44="Rural",(VLOOKUP($K44,lookup_rural,O$1,FALSE)*$H44*Coverage!K44),(VLOOKUP($K44,lookup_demography,O$1,FALSE)*$H44*Coverage!K44))),0)</f>
        <v>0</v>
      </c>
      <c r="Q44">
        <f>L44*'3. Intervention Details'!$H44</f>
        <v>0</v>
      </c>
      <c r="R44">
        <f>M44*'3. Intervention Details'!$H44</f>
        <v>0</v>
      </c>
      <c r="S44">
        <f>N44*'3. Intervention Details'!$H44</f>
        <v>0</v>
      </c>
      <c r="T44">
        <f>O44*'3. Intervention Details'!$H44</f>
        <v>0</v>
      </c>
      <c r="AA44" s="56" t="str">
        <f>IF('4. Policy Interactive Screen'!F53&lt;&gt;"",'4. Policy Interactive Screen'!F53,"")</f>
        <v/>
      </c>
      <c r="AB44" s="56" t="str">
        <f>IF('4. Policy Interactive Screen'!I53&lt;&gt;"",'4. Policy Interactive Screen'!I53,"")</f>
        <v/>
      </c>
      <c r="AC44" s="56" t="str">
        <f>IF('4. Policy Interactive Screen'!L53&lt;&gt;"",'4. Policy Interactive Screen'!L53,"")</f>
        <v/>
      </c>
      <c r="AD44" s="56" t="str">
        <f>IF('policy interact graph numbers'!AR53&lt;&gt;"",'policy interact graph numbers'!AR53,"")</f>
        <v/>
      </c>
    </row>
    <row r="45" spans="1:30" ht="15" thickBot="1" x14ac:dyDescent="0.45">
      <c r="A45" s="113">
        <v>40</v>
      </c>
      <c r="B45" s="310" t="str">
        <f>IF(Coverage!$B45="","",Coverage!$B45)</f>
        <v/>
      </c>
      <c r="C45" s="34" t="str">
        <f t="shared" si="9"/>
        <v/>
      </c>
      <c r="D45" s="308" t="str">
        <f t="shared" si="3"/>
        <v/>
      </c>
      <c r="E45" s="308" t="str">
        <f t="shared" si="4"/>
        <v/>
      </c>
      <c r="F45" s="308" t="str">
        <f t="shared" si="5"/>
        <v/>
      </c>
      <c r="G45" s="308" t="str">
        <f t="shared" si="6"/>
        <v/>
      </c>
      <c r="H45" s="34" t="str">
        <f t="shared" si="9"/>
        <v/>
      </c>
      <c r="I45" s="34" t="str">
        <f t="shared" si="9"/>
        <v/>
      </c>
      <c r="J45" s="34" t="str">
        <f t="shared" si="9"/>
        <v/>
      </c>
      <c r="K45" s="34" t="str">
        <f t="shared" si="9"/>
        <v/>
      </c>
      <c r="L45" s="202">
        <f>IFERROR(IF($I45="Urban",(VLOOKUP($K45,lookup_urban,L$1,FALSE)*$H45*Coverage!H45),IF($I45="Rural",(VLOOKUP($K45,lookup_rural,L$1,FALSE)*$H45*Coverage!G45),(VLOOKUP($K45,lookup_demography,L$1,FALSE)*$H45*Coverage!G45))),0)</f>
        <v>0</v>
      </c>
      <c r="M45" s="202">
        <f>IFERROR(IF($I45="Urban",(VLOOKUP($K45,lookup_urban,M$1,FALSE)*$H45*Coverage!I45),IF($I45="Rural",(VLOOKUP($K45,lookup_rural,M$1,FALSE)*$H45*Coverage!I45),(VLOOKUP($K45,lookup_demography,M$1,FALSE)*$H45*Coverage!I45))),0)</f>
        <v>0</v>
      </c>
      <c r="N45" s="202">
        <f>IFERROR(IF($I45="Urban",(VLOOKUP($K45,lookup_urban,N$1,FALSE)*$H45*Coverage!J45),IF($I45="Rural",(VLOOKUP($K45,lookup_rural,N$1,FALSE)*$H45*Coverage!J45),(VLOOKUP($K45,lookup_demography,N$1,FALSE)*$H45*Coverage!J45))),0)</f>
        <v>0</v>
      </c>
      <c r="O45" s="202">
        <f>IFERROR(IF($I45="Urban",(VLOOKUP($K45,lookup_urban,O$1,FALSE)*$H45*Coverage!K45),IF($I45="Rural",(VLOOKUP($K45,lookup_rural,O$1,FALSE)*$H45*Coverage!K45),(VLOOKUP($K45,lookup_demography,O$1,FALSE)*$H45*Coverage!K45))),0)</f>
        <v>0</v>
      </c>
      <c r="Q45">
        <f>L45*'3. Intervention Details'!$H45</f>
        <v>0</v>
      </c>
      <c r="R45">
        <f>M45*'3. Intervention Details'!$H45</f>
        <v>0</v>
      </c>
      <c r="S45">
        <f>N45*'3. Intervention Details'!$H45</f>
        <v>0</v>
      </c>
      <c r="T45">
        <f>O45*'3. Intervention Details'!$H45</f>
        <v>0</v>
      </c>
      <c r="AA45" s="56" t="str">
        <f>IF('4. Policy Interactive Screen'!F54&lt;&gt;"",'4. Policy Interactive Screen'!F54,"")</f>
        <v/>
      </c>
      <c r="AB45" s="56" t="str">
        <f>IF('4. Policy Interactive Screen'!I54&lt;&gt;"",'4. Policy Interactive Screen'!I54,"")</f>
        <v/>
      </c>
      <c r="AC45" s="56" t="str">
        <f>IF('4. Policy Interactive Screen'!L54&lt;&gt;"",'4. Policy Interactive Screen'!L54,"")</f>
        <v/>
      </c>
      <c r="AD45" s="56" t="str">
        <f>IF('policy interact graph numbers'!AR54&lt;&gt;"",'policy interact graph numbers'!AR54,"")</f>
        <v/>
      </c>
    </row>
    <row r="46" spans="1:30" ht="15" thickBot="1" x14ac:dyDescent="0.45">
      <c r="A46" s="113">
        <v>41</v>
      </c>
      <c r="B46" s="310" t="str">
        <f>IF(Coverage!$B46="","",Coverage!$B46)</f>
        <v/>
      </c>
      <c r="C46" s="34" t="str">
        <f t="shared" ref="C46:K61" si="10">IFERROR((VLOOKUP($B46,lookup_masterlist,C$1,FALSE)),"")</f>
        <v/>
      </c>
      <c r="D46" s="308" t="str">
        <f t="shared" si="3"/>
        <v/>
      </c>
      <c r="E46" s="308" t="str">
        <f t="shared" si="4"/>
        <v/>
      </c>
      <c r="F46" s="308" t="str">
        <f t="shared" si="5"/>
        <v/>
      </c>
      <c r="G46" s="308" t="str">
        <f t="shared" si="6"/>
        <v/>
      </c>
      <c r="H46" s="34" t="str">
        <f t="shared" si="10"/>
        <v/>
      </c>
      <c r="I46" s="34" t="str">
        <f t="shared" si="9"/>
        <v/>
      </c>
      <c r="J46" s="34" t="str">
        <f t="shared" si="10"/>
        <v/>
      </c>
      <c r="K46" s="34" t="str">
        <f t="shared" si="10"/>
        <v/>
      </c>
      <c r="L46" s="202">
        <f>IFERROR(IF($I46="Urban",(VLOOKUP($K46,lookup_urban,L$1,FALSE)*$H46*Coverage!H46),IF($I46="Rural",(VLOOKUP($K46,lookup_rural,L$1,FALSE)*$H46*Coverage!G46),(VLOOKUP($K46,lookup_demography,L$1,FALSE)*$H46*Coverage!G46))),0)</f>
        <v>0</v>
      </c>
      <c r="M46" s="202">
        <f>IFERROR(IF($I46="Urban",(VLOOKUP($K46,lookup_urban,M$1,FALSE)*$H46*Coverage!I46),IF($I46="Rural",(VLOOKUP($K46,lookup_rural,M$1,FALSE)*$H46*Coverage!I46),(VLOOKUP($K46,lookup_demography,M$1,FALSE)*$H46*Coverage!I46))),0)</f>
        <v>0</v>
      </c>
      <c r="N46" s="202">
        <f>IFERROR(IF($I46="Urban",(VLOOKUP($K46,lookup_urban,N$1,FALSE)*$H46*Coverage!J46),IF($I46="Rural",(VLOOKUP($K46,lookup_rural,N$1,FALSE)*$H46*Coverage!J46),(VLOOKUP($K46,lookup_demography,N$1,FALSE)*$H46*Coverage!J46))),0)</f>
        <v>0</v>
      </c>
      <c r="O46" s="202">
        <f>IFERROR(IF($I46="Urban",(VLOOKUP($K46,lookup_urban,O$1,FALSE)*$H46*Coverage!K46),IF($I46="Rural",(VLOOKUP($K46,lookup_rural,O$1,FALSE)*$H46*Coverage!K46),(VLOOKUP($K46,lookup_demography,O$1,FALSE)*$H46*Coverage!K46))),0)</f>
        <v>0</v>
      </c>
      <c r="Q46">
        <f>L46*'3. Intervention Details'!$H46</f>
        <v>0</v>
      </c>
      <c r="R46">
        <f>M46*'3. Intervention Details'!$H46</f>
        <v>0</v>
      </c>
      <c r="S46">
        <f>N46*'3. Intervention Details'!$H46</f>
        <v>0</v>
      </c>
      <c r="T46">
        <f>O46*'3. Intervention Details'!$H46</f>
        <v>0</v>
      </c>
      <c r="AA46" s="56" t="str">
        <f>IF('4. Policy Interactive Screen'!F55&lt;&gt;"",'4. Policy Interactive Screen'!F55,"")</f>
        <v/>
      </c>
      <c r="AB46" s="56" t="str">
        <f>IF('4. Policy Interactive Screen'!I55&lt;&gt;"",'4. Policy Interactive Screen'!I55,"")</f>
        <v/>
      </c>
      <c r="AC46" s="56" t="str">
        <f>IF('4. Policy Interactive Screen'!L55&lt;&gt;"",'4. Policy Interactive Screen'!L55,"")</f>
        <v/>
      </c>
      <c r="AD46" s="56" t="str">
        <f>IF('policy interact graph numbers'!AR55&lt;&gt;"",'policy interact graph numbers'!AR55,"")</f>
        <v/>
      </c>
    </row>
    <row r="47" spans="1:30" ht="15" thickBot="1" x14ac:dyDescent="0.45">
      <c r="A47" s="113">
        <v>42</v>
      </c>
      <c r="B47" s="310" t="str">
        <f>IF(Coverage!$B47="","",Coverage!$B47)</f>
        <v/>
      </c>
      <c r="C47" s="34" t="str">
        <f t="shared" si="10"/>
        <v/>
      </c>
      <c r="D47" s="308" t="str">
        <f t="shared" si="3"/>
        <v/>
      </c>
      <c r="E47" s="308" t="str">
        <f t="shared" si="4"/>
        <v/>
      </c>
      <c r="F47" s="308" t="str">
        <f t="shared" si="5"/>
        <v/>
      </c>
      <c r="G47" s="308" t="str">
        <f t="shared" si="6"/>
        <v/>
      </c>
      <c r="H47" s="34" t="str">
        <f t="shared" si="10"/>
        <v/>
      </c>
      <c r="I47" s="34" t="str">
        <f t="shared" si="9"/>
        <v/>
      </c>
      <c r="J47" s="34" t="str">
        <f t="shared" si="10"/>
        <v/>
      </c>
      <c r="K47" s="34" t="str">
        <f t="shared" si="10"/>
        <v/>
      </c>
      <c r="L47" s="202">
        <f>IFERROR(IF($I47="Urban",(VLOOKUP($K47,lookup_urban,L$1,FALSE)*$H47*Coverage!H47),IF($I47="Rural",(VLOOKUP($K47,lookup_rural,L$1,FALSE)*$H47*Coverage!G47),(VLOOKUP($K47,lookup_demography,L$1,FALSE)*$H47*Coverage!G47))),0)</f>
        <v>0</v>
      </c>
      <c r="M47" s="202">
        <f>IFERROR(IF($I47="Urban",(VLOOKUP($K47,lookup_urban,M$1,FALSE)*$H47*Coverage!I47),IF($I47="Rural",(VLOOKUP($K47,lookup_rural,M$1,FALSE)*$H47*Coverage!I47),(VLOOKUP($K47,lookup_demography,M$1,FALSE)*$H47*Coverage!I47))),0)</f>
        <v>0</v>
      </c>
      <c r="N47" s="202">
        <f>IFERROR(IF($I47="Urban",(VLOOKUP($K47,lookup_urban,N$1,FALSE)*$H47*Coverage!J47),IF($I47="Rural",(VLOOKUP($K47,lookup_rural,N$1,FALSE)*$H47*Coverage!J47),(VLOOKUP($K47,lookup_demography,N$1,FALSE)*$H47*Coverage!J47))),0)</f>
        <v>0</v>
      </c>
      <c r="O47" s="202">
        <f>IFERROR(IF($I47="Urban",(VLOOKUP($K47,lookup_urban,O$1,FALSE)*$H47*Coverage!K47),IF($I47="Rural",(VLOOKUP($K47,lookup_rural,O$1,FALSE)*$H47*Coverage!K47),(VLOOKUP($K47,lookup_demography,O$1,FALSE)*$H47*Coverage!K47))),0)</f>
        <v>0</v>
      </c>
      <c r="Q47">
        <f>L47*'3. Intervention Details'!$H47</f>
        <v>0</v>
      </c>
      <c r="R47">
        <f>M47*'3. Intervention Details'!$H47</f>
        <v>0</v>
      </c>
      <c r="S47">
        <f>N47*'3. Intervention Details'!$H47</f>
        <v>0</v>
      </c>
      <c r="T47">
        <f>O47*'3. Intervention Details'!$H47</f>
        <v>0</v>
      </c>
      <c r="AA47" s="56" t="str">
        <f>IF('4. Policy Interactive Screen'!F56&lt;&gt;"",'4. Policy Interactive Screen'!F56,"")</f>
        <v/>
      </c>
      <c r="AB47" s="56" t="str">
        <f>IF('4. Policy Interactive Screen'!I56&lt;&gt;"",'4. Policy Interactive Screen'!I56,"")</f>
        <v/>
      </c>
      <c r="AC47" s="56" t="str">
        <f>IF('4. Policy Interactive Screen'!L56&lt;&gt;"",'4. Policy Interactive Screen'!L56,"")</f>
        <v/>
      </c>
      <c r="AD47" s="56" t="str">
        <f>IF('policy interact graph numbers'!AR56&lt;&gt;"",'policy interact graph numbers'!AR56,"")</f>
        <v/>
      </c>
    </row>
    <row r="48" spans="1:30" ht="15" thickBot="1" x14ac:dyDescent="0.45">
      <c r="A48" s="113">
        <v>43</v>
      </c>
      <c r="B48" s="310" t="str">
        <f>IF(Coverage!$B48="","",Coverage!$B48)</f>
        <v/>
      </c>
      <c r="C48" s="34" t="str">
        <f t="shared" si="10"/>
        <v/>
      </c>
      <c r="D48" s="308" t="str">
        <f t="shared" si="3"/>
        <v/>
      </c>
      <c r="E48" s="308" t="str">
        <f t="shared" si="4"/>
        <v/>
      </c>
      <c r="F48" s="308" t="str">
        <f t="shared" si="5"/>
        <v/>
      </c>
      <c r="G48" s="308" t="str">
        <f t="shared" si="6"/>
        <v/>
      </c>
      <c r="H48" s="34" t="str">
        <f t="shared" si="10"/>
        <v/>
      </c>
      <c r="I48" s="34" t="str">
        <f t="shared" si="9"/>
        <v/>
      </c>
      <c r="J48" s="34" t="str">
        <f t="shared" si="10"/>
        <v/>
      </c>
      <c r="K48" s="34" t="str">
        <f t="shared" si="10"/>
        <v/>
      </c>
      <c r="L48" s="202">
        <f>IFERROR(IF($I48="Urban",(VLOOKUP($K48,lookup_urban,L$1,FALSE)*$H48*Coverage!H48),IF($I48="Rural",(VLOOKUP($K48,lookup_rural,L$1,FALSE)*$H48*Coverage!G48),(VLOOKUP($K48,lookup_demography,L$1,FALSE)*$H48*Coverage!G48))),0)</f>
        <v>0</v>
      </c>
      <c r="M48" s="202">
        <f>IFERROR(IF($I48="Urban",(VLOOKUP($K48,lookup_urban,M$1,FALSE)*$H48*Coverage!I48),IF($I48="Rural",(VLOOKUP($K48,lookup_rural,M$1,FALSE)*$H48*Coverage!I48),(VLOOKUP($K48,lookup_demography,M$1,FALSE)*$H48*Coverage!I48))),0)</f>
        <v>0</v>
      </c>
      <c r="N48" s="202">
        <f>IFERROR(IF($I48="Urban",(VLOOKUP($K48,lookup_urban,N$1,FALSE)*$H48*Coverage!J48),IF($I48="Rural",(VLOOKUP($K48,lookup_rural,N$1,FALSE)*$H48*Coverage!J48),(VLOOKUP($K48,lookup_demography,N$1,FALSE)*$H48*Coverage!J48))),0)</f>
        <v>0</v>
      </c>
      <c r="O48" s="202">
        <f>IFERROR(IF($I48="Urban",(VLOOKUP($K48,lookup_urban,O$1,FALSE)*$H48*Coverage!K48),IF($I48="Rural",(VLOOKUP($K48,lookup_rural,O$1,FALSE)*$H48*Coverage!K48),(VLOOKUP($K48,lookup_demography,O$1,FALSE)*$H48*Coverage!K48))),0)</f>
        <v>0</v>
      </c>
      <c r="Q48">
        <f>L48*'3. Intervention Details'!$H48</f>
        <v>0</v>
      </c>
      <c r="R48">
        <f>M48*'3. Intervention Details'!$H48</f>
        <v>0</v>
      </c>
      <c r="S48">
        <f>N48*'3. Intervention Details'!$H48</f>
        <v>0</v>
      </c>
      <c r="T48">
        <f>O48*'3. Intervention Details'!$H48</f>
        <v>0</v>
      </c>
      <c r="AA48" s="56" t="str">
        <f>IF('4. Policy Interactive Screen'!F57&lt;&gt;"",'4. Policy Interactive Screen'!F57,"")</f>
        <v/>
      </c>
      <c r="AB48" s="56" t="str">
        <f>IF('4. Policy Interactive Screen'!I57&lt;&gt;"",'4. Policy Interactive Screen'!I57,"")</f>
        <v/>
      </c>
      <c r="AC48" s="56" t="str">
        <f>IF('4. Policy Interactive Screen'!L57&lt;&gt;"",'4. Policy Interactive Screen'!L57,"")</f>
        <v/>
      </c>
      <c r="AD48" s="56" t="str">
        <f>IF('policy interact graph numbers'!AR57&lt;&gt;"",'policy interact graph numbers'!AR57,"")</f>
        <v/>
      </c>
    </row>
    <row r="49" spans="1:30" ht="15" thickBot="1" x14ac:dyDescent="0.45">
      <c r="A49" s="113">
        <v>44</v>
      </c>
      <c r="B49" s="310" t="str">
        <f>IF(Coverage!$B49="","",Coverage!$B49)</f>
        <v/>
      </c>
      <c r="C49" s="34" t="str">
        <f t="shared" si="10"/>
        <v/>
      </c>
      <c r="D49" s="308" t="str">
        <f t="shared" si="3"/>
        <v/>
      </c>
      <c r="E49" s="308" t="str">
        <f t="shared" si="4"/>
        <v/>
      </c>
      <c r="F49" s="308" t="str">
        <f t="shared" si="5"/>
        <v/>
      </c>
      <c r="G49" s="308" t="str">
        <f t="shared" si="6"/>
        <v/>
      </c>
      <c r="H49" s="34" t="str">
        <f t="shared" si="10"/>
        <v/>
      </c>
      <c r="I49" s="34" t="str">
        <f t="shared" si="9"/>
        <v/>
      </c>
      <c r="J49" s="34" t="str">
        <f t="shared" si="10"/>
        <v/>
      </c>
      <c r="K49" s="34" t="str">
        <f t="shared" si="10"/>
        <v/>
      </c>
      <c r="L49" s="202">
        <f>IFERROR(IF($I49="Urban",(VLOOKUP($K49,lookup_urban,L$1,FALSE)*$H49*Coverage!H49),IF($I49="Rural",(VLOOKUP($K49,lookup_rural,L$1,FALSE)*$H49*Coverage!G49),(VLOOKUP($K49,lookup_demography,L$1,FALSE)*$H49*Coverage!G49))),0)</f>
        <v>0</v>
      </c>
      <c r="M49" s="202">
        <f>IFERROR(IF($I49="Urban",(VLOOKUP($K49,lookup_urban,M$1,FALSE)*$H49*Coverage!I49),IF($I49="Rural",(VLOOKUP($K49,lookup_rural,M$1,FALSE)*$H49*Coverage!I49),(VLOOKUP($K49,lookup_demography,M$1,FALSE)*$H49*Coverage!I49))),0)</f>
        <v>0</v>
      </c>
      <c r="N49" s="202">
        <f>IFERROR(IF($I49="Urban",(VLOOKUP($K49,lookup_urban,N$1,FALSE)*$H49*Coverage!J49),IF($I49="Rural",(VLOOKUP($K49,lookup_rural,N$1,FALSE)*$H49*Coverage!J49),(VLOOKUP($K49,lookup_demography,N$1,FALSE)*$H49*Coverage!J49))),0)</f>
        <v>0</v>
      </c>
      <c r="O49" s="202">
        <f>IFERROR(IF($I49="Urban",(VLOOKUP($K49,lookup_urban,O$1,FALSE)*$H49*Coverage!K49),IF($I49="Rural",(VLOOKUP($K49,lookup_rural,O$1,FALSE)*$H49*Coverage!K49),(VLOOKUP($K49,lookup_demography,O$1,FALSE)*$H49*Coverage!K49))),0)</f>
        <v>0</v>
      </c>
      <c r="Q49">
        <f>L49*'3. Intervention Details'!$H49</f>
        <v>0</v>
      </c>
      <c r="R49">
        <f>M49*'3. Intervention Details'!$H49</f>
        <v>0</v>
      </c>
      <c r="S49">
        <f>N49*'3. Intervention Details'!$H49</f>
        <v>0</v>
      </c>
      <c r="T49">
        <f>O49*'3. Intervention Details'!$H49</f>
        <v>0</v>
      </c>
      <c r="AA49" s="56" t="str">
        <f>IF('4. Policy Interactive Screen'!F58&lt;&gt;"",'4. Policy Interactive Screen'!F58,"")</f>
        <v/>
      </c>
      <c r="AB49" s="56" t="str">
        <f>IF('4. Policy Interactive Screen'!I58&lt;&gt;"",'4. Policy Interactive Screen'!I58,"")</f>
        <v/>
      </c>
      <c r="AC49" s="56" t="str">
        <f>IF('4. Policy Interactive Screen'!L58&lt;&gt;"",'4. Policy Interactive Screen'!L58,"")</f>
        <v/>
      </c>
      <c r="AD49" s="56" t="str">
        <f>IF('policy interact graph numbers'!AR58&lt;&gt;"",'policy interact graph numbers'!AR58,"")</f>
        <v/>
      </c>
    </row>
    <row r="50" spans="1:30" ht="15" thickBot="1" x14ac:dyDescent="0.45">
      <c r="A50" s="113">
        <v>45</v>
      </c>
      <c r="B50" s="310" t="str">
        <f>IF(Coverage!$B50="","",Coverage!$B50)</f>
        <v/>
      </c>
      <c r="C50" s="34" t="str">
        <f t="shared" si="10"/>
        <v/>
      </c>
      <c r="D50" s="308" t="str">
        <f t="shared" si="3"/>
        <v/>
      </c>
      <c r="E50" s="308" t="str">
        <f t="shared" si="4"/>
        <v/>
      </c>
      <c r="F50" s="308" t="str">
        <f t="shared" si="5"/>
        <v/>
      </c>
      <c r="G50" s="308" t="str">
        <f t="shared" si="6"/>
        <v/>
      </c>
      <c r="H50" s="34" t="str">
        <f t="shared" si="10"/>
        <v/>
      </c>
      <c r="I50" s="34" t="str">
        <f t="shared" si="9"/>
        <v/>
      </c>
      <c r="J50" s="34" t="str">
        <f t="shared" si="10"/>
        <v/>
      </c>
      <c r="K50" s="34" t="str">
        <f t="shared" si="10"/>
        <v/>
      </c>
      <c r="L50" s="202">
        <f>IFERROR(IF($I50="Urban",(VLOOKUP($K50,lookup_urban,L$1,FALSE)*$H50*Coverage!H50),IF($I50="Rural",(VLOOKUP($K50,lookup_rural,L$1,FALSE)*$H50*Coverage!G50),(VLOOKUP($K50,lookup_demography,L$1,FALSE)*$H50*Coverage!G50))),0)</f>
        <v>0</v>
      </c>
      <c r="M50" s="202">
        <f>IFERROR(IF($I50="Urban",(VLOOKUP($K50,lookup_urban,M$1,FALSE)*$H50*Coverage!I50),IF($I50="Rural",(VLOOKUP($K50,lookup_rural,M$1,FALSE)*$H50*Coverage!I50),(VLOOKUP($K50,lookup_demography,M$1,FALSE)*$H50*Coverage!I50))),0)</f>
        <v>0</v>
      </c>
      <c r="N50" s="202">
        <f>IFERROR(IF($I50="Urban",(VLOOKUP($K50,lookup_urban,N$1,FALSE)*$H50*Coverage!J50),IF($I50="Rural",(VLOOKUP($K50,lookup_rural,N$1,FALSE)*$H50*Coverage!J50),(VLOOKUP($K50,lookup_demography,N$1,FALSE)*$H50*Coverage!J50))),0)</f>
        <v>0</v>
      </c>
      <c r="O50" s="202">
        <f>IFERROR(IF($I50="Urban",(VLOOKUP($K50,lookup_urban,O$1,FALSE)*$H50*Coverage!K50),IF($I50="Rural",(VLOOKUP($K50,lookup_rural,O$1,FALSE)*$H50*Coverage!K50),(VLOOKUP($K50,lookup_demography,O$1,FALSE)*$H50*Coverage!K50))),0)</f>
        <v>0</v>
      </c>
      <c r="Q50">
        <f>L50*'3. Intervention Details'!$H50</f>
        <v>0</v>
      </c>
      <c r="R50">
        <f>M50*'3. Intervention Details'!$H50</f>
        <v>0</v>
      </c>
      <c r="S50">
        <f>N50*'3. Intervention Details'!$H50</f>
        <v>0</v>
      </c>
      <c r="T50">
        <f>O50*'3. Intervention Details'!$H50</f>
        <v>0</v>
      </c>
      <c r="AA50" s="56" t="str">
        <f>IF('4. Policy Interactive Screen'!F59&lt;&gt;"",'4. Policy Interactive Screen'!F59,"")</f>
        <v/>
      </c>
      <c r="AB50" s="56" t="str">
        <f>IF('4. Policy Interactive Screen'!I59&lt;&gt;"",'4. Policy Interactive Screen'!I59,"")</f>
        <v/>
      </c>
      <c r="AC50" s="56" t="str">
        <f>IF('4. Policy Interactive Screen'!L59&lt;&gt;"",'4. Policy Interactive Screen'!L59,"")</f>
        <v/>
      </c>
      <c r="AD50" s="56" t="str">
        <f>IF('policy interact graph numbers'!AR59&lt;&gt;"",'policy interact graph numbers'!AR59,"")</f>
        <v/>
      </c>
    </row>
    <row r="51" spans="1:30" ht="15" thickBot="1" x14ac:dyDescent="0.45">
      <c r="A51" s="113">
        <v>46</v>
      </c>
      <c r="B51" s="310" t="str">
        <f>IF(Coverage!$B51="","",Coverage!$B51)</f>
        <v/>
      </c>
      <c r="C51" s="34" t="str">
        <f t="shared" si="10"/>
        <v/>
      </c>
      <c r="D51" s="308" t="str">
        <f t="shared" si="3"/>
        <v/>
      </c>
      <c r="E51" s="308" t="str">
        <f t="shared" si="4"/>
        <v/>
      </c>
      <c r="F51" s="308" t="str">
        <f t="shared" si="5"/>
        <v/>
      </c>
      <c r="G51" s="308" t="str">
        <f t="shared" si="6"/>
        <v/>
      </c>
      <c r="H51" s="34" t="str">
        <f t="shared" si="10"/>
        <v/>
      </c>
      <c r="I51" s="34" t="str">
        <f t="shared" si="9"/>
        <v/>
      </c>
      <c r="J51" s="34" t="str">
        <f t="shared" si="10"/>
        <v/>
      </c>
      <c r="K51" s="34" t="str">
        <f t="shared" si="10"/>
        <v/>
      </c>
      <c r="L51" s="202">
        <f>IFERROR(IF($I51="Urban",(VLOOKUP($K51,lookup_urban,L$1,FALSE)*$H51*Coverage!H51),IF($I51="Rural",(VLOOKUP($K51,lookup_rural,L$1,FALSE)*$H51*Coverage!G51),(VLOOKUP($K51,lookup_demography,L$1,FALSE)*$H51*Coverage!G51))),0)</f>
        <v>0</v>
      </c>
      <c r="M51" s="202">
        <f>IFERROR(IF($I51="Urban",(VLOOKUP($K51,lookup_urban,M$1,FALSE)*$H51*Coverage!I51),IF($I51="Rural",(VLOOKUP($K51,lookup_rural,M$1,FALSE)*$H51*Coverage!I51),(VLOOKUP($K51,lookup_demography,M$1,FALSE)*$H51*Coverage!I51))),0)</f>
        <v>0</v>
      </c>
      <c r="N51" s="202">
        <f>IFERROR(IF($I51="Urban",(VLOOKUP($K51,lookup_urban,N$1,FALSE)*$H51*Coverage!J51),IF($I51="Rural",(VLOOKUP($K51,lookup_rural,N$1,FALSE)*$H51*Coverage!J51),(VLOOKUP($K51,lookup_demography,N$1,FALSE)*$H51*Coverage!J51))),0)</f>
        <v>0</v>
      </c>
      <c r="O51" s="202">
        <f>IFERROR(IF($I51="Urban",(VLOOKUP($K51,lookup_urban,O$1,FALSE)*$H51*Coverage!K51),IF($I51="Rural",(VLOOKUP($K51,lookup_rural,O$1,FALSE)*$H51*Coverage!K51),(VLOOKUP($K51,lookup_demography,O$1,FALSE)*$H51*Coverage!K51))),0)</f>
        <v>0</v>
      </c>
      <c r="Q51">
        <f>L51*'3. Intervention Details'!$H51</f>
        <v>0</v>
      </c>
      <c r="R51">
        <f>M51*'3. Intervention Details'!$H51</f>
        <v>0</v>
      </c>
      <c r="S51">
        <f>N51*'3. Intervention Details'!$H51</f>
        <v>0</v>
      </c>
      <c r="T51">
        <f>O51*'3. Intervention Details'!$H51</f>
        <v>0</v>
      </c>
      <c r="AA51" s="56" t="str">
        <f>IF('4. Policy Interactive Screen'!F60&lt;&gt;"",'4. Policy Interactive Screen'!F60,"")</f>
        <v/>
      </c>
      <c r="AB51" s="56" t="str">
        <f>IF('4. Policy Interactive Screen'!I60&lt;&gt;"",'4. Policy Interactive Screen'!I60,"")</f>
        <v/>
      </c>
      <c r="AC51" s="56" t="str">
        <f>IF('4. Policy Interactive Screen'!L60&lt;&gt;"",'4. Policy Interactive Screen'!L60,"")</f>
        <v/>
      </c>
      <c r="AD51" s="56" t="str">
        <f>IF('policy interact graph numbers'!AR60&lt;&gt;"",'policy interact graph numbers'!AR60,"")</f>
        <v/>
      </c>
    </row>
    <row r="52" spans="1:30" ht="15" thickBot="1" x14ac:dyDescent="0.45">
      <c r="A52" s="113">
        <v>47</v>
      </c>
      <c r="B52" s="310" t="str">
        <f>IF(Coverage!$B52="","",Coverage!$B52)</f>
        <v/>
      </c>
      <c r="C52" s="34" t="str">
        <f t="shared" si="10"/>
        <v/>
      </c>
      <c r="D52" s="308" t="str">
        <f t="shared" si="3"/>
        <v/>
      </c>
      <c r="E52" s="308" t="str">
        <f t="shared" si="4"/>
        <v/>
      </c>
      <c r="F52" s="308" t="str">
        <f t="shared" si="5"/>
        <v/>
      </c>
      <c r="G52" s="308" t="str">
        <f t="shared" si="6"/>
        <v/>
      </c>
      <c r="H52" s="34" t="str">
        <f t="shared" si="10"/>
        <v/>
      </c>
      <c r="I52" s="34" t="str">
        <f t="shared" si="10"/>
        <v/>
      </c>
      <c r="J52" s="34" t="str">
        <f t="shared" si="10"/>
        <v/>
      </c>
      <c r="K52" s="34" t="str">
        <f t="shared" si="10"/>
        <v/>
      </c>
      <c r="L52" s="202">
        <f>IFERROR(IF($I52="Urban",(VLOOKUP($K52,lookup_urban,L$1,FALSE)*$H52*Coverage!H52),IF($I52="Rural",(VLOOKUP($K52,lookup_rural,L$1,FALSE)*$H52*Coverage!G52),(VLOOKUP($K52,lookup_demography,L$1,FALSE)*$H52*Coverage!G52))),0)</f>
        <v>0</v>
      </c>
      <c r="M52" s="202">
        <f>IFERROR(IF($I52="Urban",(VLOOKUP($K52,lookup_urban,M$1,FALSE)*$H52*Coverage!I52),IF($I52="Rural",(VLOOKUP($K52,lookup_rural,M$1,FALSE)*$H52*Coverage!I52),(VLOOKUP($K52,lookup_demography,M$1,FALSE)*$H52*Coverage!I52))),0)</f>
        <v>0</v>
      </c>
      <c r="N52" s="202">
        <f>IFERROR(IF($I52="Urban",(VLOOKUP($K52,lookup_urban,N$1,FALSE)*$H52*Coverage!J52),IF($I52="Rural",(VLOOKUP($K52,lookup_rural,N$1,FALSE)*$H52*Coverage!J52),(VLOOKUP($K52,lookup_demography,N$1,FALSE)*$H52*Coverage!J52))),0)</f>
        <v>0</v>
      </c>
      <c r="O52" s="202">
        <f>IFERROR(IF($I52="Urban",(VLOOKUP($K52,lookup_urban,O$1,FALSE)*$H52*Coverage!K52),IF($I52="Rural",(VLOOKUP($K52,lookup_rural,O$1,FALSE)*$H52*Coverage!K52),(VLOOKUP($K52,lookup_demography,O$1,FALSE)*$H52*Coverage!K52))),0)</f>
        <v>0</v>
      </c>
      <c r="Q52">
        <f>L52*'3. Intervention Details'!$H52</f>
        <v>0</v>
      </c>
      <c r="R52">
        <f>M52*'3. Intervention Details'!$H52</f>
        <v>0</v>
      </c>
      <c r="S52">
        <f>N52*'3. Intervention Details'!$H52</f>
        <v>0</v>
      </c>
      <c r="T52">
        <f>O52*'3. Intervention Details'!$H52</f>
        <v>0</v>
      </c>
      <c r="AA52" s="56" t="str">
        <f>IF('4. Policy Interactive Screen'!F61&lt;&gt;"",'4. Policy Interactive Screen'!F61,"")</f>
        <v/>
      </c>
      <c r="AB52" s="56" t="str">
        <f>IF('4. Policy Interactive Screen'!I61&lt;&gt;"",'4. Policy Interactive Screen'!I61,"")</f>
        <v/>
      </c>
      <c r="AC52" s="56" t="str">
        <f>IF('4. Policy Interactive Screen'!L61&lt;&gt;"",'4. Policy Interactive Screen'!L61,"")</f>
        <v/>
      </c>
      <c r="AD52" s="56" t="str">
        <f>IF('policy interact graph numbers'!AR61&lt;&gt;"",'policy interact graph numbers'!AR61,"")</f>
        <v/>
      </c>
    </row>
    <row r="53" spans="1:30" ht="15" thickBot="1" x14ac:dyDescent="0.45">
      <c r="A53" s="113">
        <v>48</v>
      </c>
      <c r="B53" s="310" t="str">
        <f>IF(Coverage!$B53="","",Coverage!$B53)</f>
        <v/>
      </c>
      <c r="C53" s="34" t="str">
        <f t="shared" si="10"/>
        <v/>
      </c>
      <c r="D53" s="308" t="str">
        <f t="shared" si="3"/>
        <v/>
      </c>
      <c r="E53" s="308" t="str">
        <f t="shared" si="4"/>
        <v/>
      </c>
      <c r="F53" s="308" t="str">
        <f t="shared" si="5"/>
        <v/>
      </c>
      <c r="G53" s="308" t="str">
        <f t="shared" si="6"/>
        <v/>
      </c>
      <c r="H53" s="34" t="str">
        <f t="shared" si="10"/>
        <v/>
      </c>
      <c r="I53" s="34" t="str">
        <f t="shared" si="10"/>
        <v/>
      </c>
      <c r="J53" s="34" t="str">
        <f t="shared" si="10"/>
        <v/>
      </c>
      <c r="K53" s="34" t="str">
        <f t="shared" si="10"/>
        <v/>
      </c>
      <c r="L53" s="202">
        <f>IFERROR(IF($I53="Urban",(VLOOKUP($K53,lookup_urban,L$1,FALSE)*$H53*Coverage!H53),IF($I53="Rural",(VLOOKUP($K53,lookup_rural,L$1,FALSE)*$H53*Coverage!G53),(VLOOKUP($K53,lookup_demography,L$1,FALSE)*$H53*Coverage!G53))),0)</f>
        <v>0</v>
      </c>
      <c r="M53" s="202">
        <f>IFERROR(IF($I53="Urban",(VLOOKUP($K53,lookup_urban,M$1,FALSE)*$H53*Coverage!I53),IF($I53="Rural",(VLOOKUP($K53,lookup_rural,M$1,FALSE)*$H53*Coverage!I53),(VLOOKUP($K53,lookup_demography,M$1,FALSE)*$H53*Coverage!I53))),0)</f>
        <v>0</v>
      </c>
      <c r="N53" s="202">
        <f>IFERROR(IF($I53="Urban",(VLOOKUP($K53,lookup_urban,N$1,FALSE)*$H53*Coverage!J53),IF($I53="Rural",(VLOOKUP($K53,lookup_rural,N$1,FALSE)*$H53*Coverage!J53),(VLOOKUP($K53,lookup_demography,N$1,FALSE)*$H53*Coverage!J53))),0)</f>
        <v>0</v>
      </c>
      <c r="O53" s="202">
        <f>IFERROR(IF($I53="Urban",(VLOOKUP($K53,lookup_urban,O$1,FALSE)*$H53*Coverage!K53),IF($I53="Rural",(VLOOKUP($K53,lookup_rural,O$1,FALSE)*$H53*Coverage!K53),(VLOOKUP($K53,lookup_demography,O$1,FALSE)*$H53*Coverage!K53))),0)</f>
        <v>0</v>
      </c>
      <c r="Q53">
        <f>L53*'3. Intervention Details'!$H53</f>
        <v>0</v>
      </c>
      <c r="R53">
        <f>M53*'3. Intervention Details'!$H53</f>
        <v>0</v>
      </c>
      <c r="S53">
        <f>N53*'3. Intervention Details'!$H53</f>
        <v>0</v>
      </c>
      <c r="T53">
        <f>O53*'3. Intervention Details'!$H53</f>
        <v>0</v>
      </c>
      <c r="AA53" s="56" t="str">
        <f>IF('4. Policy Interactive Screen'!F62&lt;&gt;"",'4. Policy Interactive Screen'!F62,"")</f>
        <v/>
      </c>
      <c r="AB53" s="56" t="str">
        <f>IF('4. Policy Interactive Screen'!I62&lt;&gt;"",'4. Policy Interactive Screen'!I62,"")</f>
        <v/>
      </c>
      <c r="AC53" s="56" t="str">
        <f>IF('4. Policy Interactive Screen'!L62&lt;&gt;"",'4. Policy Interactive Screen'!L62,"")</f>
        <v/>
      </c>
      <c r="AD53" s="56" t="str">
        <f>IF('policy interact graph numbers'!AR62&lt;&gt;"",'policy interact graph numbers'!AR62,"")</f>
        <v/>
      </c>
    </row>
    <row r="54" spans="1:30" ht="15" thickBot="1" x14ac:dyDescent="0.45">
      <c r="A54" s="113">
        <v>49</v>
      </c>
      <c r="B54" s="310" t="str">
        <f>IF(Coverage!$B54="","",Coverage!$B54)</f>
        <v/>
      </c>
      <c r="C54" s="34" t="str">
        <f t="shared" si="10"/>
        <v/>
      </c>
      <c r="D54" s="308" t="str">
        <f t="shared" si="3"/>
        <v/>
      </c>
      <c r="E54" s="308" t="str">
        <f t="shared" si="4"/>
        <v/>
      </c>
      <c r="F54" s="308" t="str">
        <f t="shared" si="5"/>
        <v/>
      </c>
      <c r="G54" s="308" t="str">
        <f t="shared" si="6"/>
        <v/>
      </c>
      <c r="H54" s="34" t="str">
        <f t="shared" si="10"/>
        <v/>
      </c>
      <c r="I54" s="34" t="str">
        <f t="shared" si="10"/>
        <v/>
      </c>
      <c r="J54" s="34" t="str">
        <f t="shared" si="10"/>
        <v/>
      </c>
      <c r="K54" s="34" t="str">
        <f t="shared" si="10"/>
        <v/>
      </c>
      <c r="L54" s="202">
        <f>IFERROR(IF($I54="Urban",(VLOOKUP($K54,lookup_urban,L$1,FALSE)*$H54*Coverage!H54),IF($I54="Rural",(VLOOKUP($K54,lookup_rural,L$1,FALSE)*$H54*Coverage!G54),(VLOOKUP($K54,lookup_demography,L$1,FALSE)*$H54*Coverage!G54))),0)</f>
        <v>0</v>
      </c>
      <c r="M54" s="202">
        <f>IFERROR(IF($I54="Urban",(VLOOKUP($K54,lookup_urban,M$1,FALSE)*$H54*Coverage!I54),IF($I54="Rural",(VLOOKUP($K54,lookup_rural,M$1,FALSE)*$H54*Coverage!I54),(VLOOKUP($K54,lookup_demography,M$1,FALSE)*$H54*Coverage!I54))),0)</f>
        <v>0</v>
      </c>
      <c r="N54" s="202">
        <f>IFERROR(IF($I54="Urban",(VLOOKUP($K54,lookup_urban,N$1,FALSE)*$H54*Coverage!J54),IF($I54="Rural",(VLOOKUP($K54,lookup_rural,N$1,FALSE)*$H54*Coverage!J54),(VLOOKUP($K54,lookup_demography,N$1,FALSE)*$H54*Coverage!J54))),0)</f>
        <v>0</v>
      </c>
      <c r="O54" s="202">
        <f>IFERROR(IF($I54="Urban",(VLOOKUP($K54,lookup_urban,O$1,FALSE)*$H54*Coverage!K54),IF($I54="Rural",(VLOOKUP($K54,lookup_rural,O$1,FALSE)*$H54*Coverage!K54),(VLOOKUP($K54,lookup_demography,O$1,FALSE)*$H54*Coverage!K54))),0)</f>
        <v>0</v>
      </c>
      <c r="Q54">
        <f>L54*'3. Intervention Details'!$H54</f>
        <v>0</v>
      </c>
      <c r="R54">
        <f>M54*'3. Intervention Details'!$H54</f>
        <v>0</v>
      </c>
      <c r="S54">
        <f>N54*'3. Intervention Details'!$H54</f>
        <v>0</v>
      </c>
      <c r="T54">
        <f>O54*'3. Intervention Details'!$H54</f>
        <v>0</v>
      </c>
      <c r="AA54" s="56" t="str">
        <f>IF('4. Policy Interactive Screen'!F63&lt;&gt;"",'4. Policy Interactive Screen'!F63,"")</f>
        <v/>
      </c>
      <c r="AB54" s="56" t="str">
        <f>IF('4. Policy Interactive Screen'!I63&lt;&gt;"",'4. Policy Interactive Screen'!I63,"")</f>
        <v/>
      </c>
      <c r="AC54" s="56" t="str">
        <f>IF('4. Policy Interactive Screen'!L63&lt;&gt;"",'4. Policy Interactive Screen'!L63,"")</f>
        <v/>
      </c>
      <c r="AD54" s="56" t="str">
        <f>IF('policy interact graph numbers'!AR63&lt;&gt;"",'policy interact graph numbers'!AR63,"")</f>
        <v/>
      </c>
    </row>
    <row r="55" spans="1:30" ht="15" thickBot="1" x14ac:dyDescent="0.45">
      <c r="A55" s="113">
        <v>50</v>
      </c>
      <c r="B55" s="310" t="str">
        <f>IF(Coverage!$B55="","",Coverage!$B55)</f>
        <v/>
      </c>
      <c r="C55" s="34" t="str">
        <f t="shared" si="10"/>
        <v/>
      </c>
      <c r="D55" s="308" t="str">
        <f t="shared" si="3"/>
        <v/>
      </c>
      <c r="E55" s="308" t="str">
        <f t="shared" si="4"/>
        <v/>
      </c>
      <c r="F55" s="308" t="str">
        <f t="shared" si="5"/>
        <v/>
      </c>
      <c r="G55" s="308" t="str">
        <f t="shared" si="6"/>
        <v/>
      </c>
      <c r="H55" s="34" t="str">
        <f t="shared" si="10"/>
        <v/>
      </c>
      <c r="I55" s="34" t="str">
        <f t="shared" si="10"/>
        <v/>
      </c>
      <c r="J55" s="34" t="str">
        <f t="shared" si="10"/>
        <v/>
      </c>
      <c r="K55" s="34" t="str">
        <f t="shared" si="10"/>
        <v/>
      </c>
      <c r="L55" s="202">
        <f>IFERROR(IF($I55="Urban",(VLOOKUP($K55,lookup_urban,L$1,FALSE)*$H55*Coverage!H55),IF($I55="Rural",(VLOOKUP($K55,lookup_rural,L$1,FALSE)*$H55*Coverage!G55),(VLOOKUP($K55,lookup_demography,L$1,FALSE)*$H55*Coverage!G55))),0)</f>
        <v>0</v>
      </c>
      <c r="M55" s="202">
        <f>IFERROR(IF($I55="Urban",(VLOOKUP($K55,lookup_urban,M$1,FALSE)*$H55*Coverage!I55),IF($I55="Rural",(VLOOKUP($K55,lookup_rural,M$1,FALSE)*$H55*Coverage!I55),(VLOOKUP($K55,lookup_demography,M$1,FALSE)*$H55*Coverage!I55))),0)</f>
        <v>0</v>
      </c>
      <c r="N55" s="202">
        <f>IFERROR(IF($I55="Urban",(VLOOKUP($K55,lookup_urban,N$1,FALSE)*$H55*Coverage!J55),IF($I55="Rural",(VLOOKUP($K55,lookup_rural,N$1,FALSE)*$H55*Coverage!J55),(VLOOKUP($K55,lookup_demography,N$1,FALSE)*$H55*Coverage!J55))),0)</f>
        <v>0</v>
      </c>
      <c r="O55" s="202">
        <f>IFERROR(IF($I55="Urban",(VLOOKUP($K55,lookup_urban,O$1,FALSE)*$H55*Coverage!K55),IF($I55="Rural",(VLOOKUP($K55,lookup_rural,O$1,FALSE)*$H55*Coverage!K55),(VLOOKUP($K55,lookup_demography,O$1,FALSE)*$H55*Coverage!K55))),0)</f>
        <v>0</v>
      </c>
      <c r="Q55">
        <f>L55*'3. Intervention Details'!$H55</f>
        <v>0</v>
      </c>
      <c r="R55">
        <f>M55*'3. Intervention Details'!$H55</f>
        <v>0</v>
      </c>
      <c r="S55">
        <f>N55*'3. Intervention Details'!$H55</f>
        <v>0</v>
      </c>
      <c r="T55">
        <f>O55*'3. Intervention Details'!$H55</f>
        <v>0</v>
      </c>
      <c r="AA55" s="56" t="str">
        <f>IF('4. Policy Interactive Screen'!F64&lt;&gt;"",'4. Policy Interactive Screen'!F64,"")</f>
        <v/>
      </c>
      <c r="AB55" s="56" t="str">
        <f>IF('4. Policy Interactive Screen'!I64&lt;&gt;"",'4. Policy Interactive Screen'!I64,"")</f>
        <v/>
      </c>
      <c r="AC55" s="56" t="str">
        <f>IF('4. Policy Interactive Screen'!L64&lt;&gt;"",'4. Policy Interactive Screen'!L64,"")</f>
        <v/>
      </c>
      <c r="AD55" s="56" t="str">
        <f>IF('policy interact graph numbers'!AR64&lt;&gt;"",'policy interact graph numbers'!AR64,"")</f>
        <v/>
      </c>
    </row>
    <row r="56" spans="1:30" ht="15" thickBot="1" x14ac:dyDescent="0.45">
      <c r="A56" s="113">
        <v>51</v>
      </c>
      <c r="B56" s="310" t="str">
        <f>IF(Coverage!$B56="","",Coverage!$B56)</f>
        <v/>
      </c>
      <c r="C56" s="34" t="str">
        <f t="shared" ref="C56:K71" si="11">IFERROR((VLOOKUP($B56,lookup_masterlist,C$1,FALSE)),"")</f>
        <v/>
      </c>
      <c r="D56" s="308" t="str">
        <f t="shared" si="3"/>
        <v/>
      </c>
      <c r="E56" s="308" t="str">
        <f t="shared" si="4"/>
        <v/>
      </c>
      <c r="F56" s="308" t="str">
        <f t="shared" si="5"/>
        <v/>
      </c>
      <c r="G56" s="308" t="str">
        <f t="shared" si="6"/>
        <v/>
      </c>
      <c r="H56" s="34" t="str">
        <f t="shared" si="11"/>
        <v/>
      </c>
      <c r="I56" s="34" t="str">
        <f t="shared" si="10"/>
        <v/>
      </c>
      <c r="J56" s="34" t="str">
        <f t="shared" si="11"/>
        <v/>
      </c>
      <c r="K56" s="34" t="str">
        <f t="shared" si="11"/>
        <v/>
      </c>
      <c r="L56" s="202">
        <f>IFERROR(IF($I56="Urban",(VLOOKUP($K56,lookup_urban,L$1,FALSE)*$H56*Coverage!H56),IF($I56="Rural",(VLOOKUP($K56,lookup_rural,L$1,FALSE)*$H56*Coverage!G56),(VLOOKUP($K56,lookup_demography,L$1,FALSE)*$H56*Coverage!G56))),0)</f>
        <v>0</v>
      </c>
      <c r="M56" s="202">
        <f>IFERROR(IF($I56="Urban",(VLOOKUP($K56,lookup_urban,M$1,FALSE)*$H56*Coverage!I56),IF($I56="Rural",(VLOOKUP($K56,lookup_rural,M$1,FALSE)*$H56*Coverage!I56),(VLOOKUP($K56,lookup_demography,M$1,FALSE)*$H56*Coverage!I56))),0)</f>
        <v>0</v>
      </c>
      <c r="N56" s="202">
        <f>IFERROR(IF($I56="Urban",(VLOOKUP($K56,lookup_urban,N$1,FALSE)*$H56*Coverage!J56),IF($I56="Rural",(VLOOKUP($K56,lookup_rural,N$1,FALSE)*$H56*Coverage!J56),(VLOOKUP($K56,lookup_demography,N$1,FALSE)*$H56*Coverage!J56))),0)</f>
        <v>0</v>
      </c>
      <c r="O56" s="202">
        <f>IFERROR(IF($I56="Urban",(VLOOKUP($K56,lookup_urban,O$1,FALSE)*$H56*Coverage!K56),IF($I56="Rural",(VLOOKUP($K56,lookup_rural,O$1,FALSE)*$H56*Coverage!K56),(VLOOKUP($K56,lookup_demography,O$1,FALSE)*$H56*Coverage!K56))),0)</f>
        <v>0</v>
      </c>
      <c r="Q56">
        <f>L56*'3. Intervention Details'!$H56</f>
        <v>0</v>
      </c>
      <c r="R56">
        <f>M56*'3. Intervention Details'!$H56</f>
        <v>0</v>
      </c>
      <c r="S56">
        <f>N56*'3. Intervention Details'!$H56</f>
        <v>0</v>
      </c>
      <c r="T56">
        <f>O56*'3. Intervention Details'!$H56</f>
        <v>0</v>
      </c>
      <c r="AA56" s="56" t="str">
        <f>IF('4. Policy Interactive Screen'!F65&lt;&gt;"",'4. Policy Interactive Screen'!F65,"")</f>
        <v/>
      </c>
      <c r="AB56" s="56" t="str">
        <f>IF('4. Policy Interactive Screen'!I65&lt;&gt;"",'4. Policy Interactive Screen'!I65,"")</f>
        <v/>
      </c>
      <c r="AC56" s="56" t="str">
        <f>IF('4. Policy Interactive Screen'!L65&lt;&gt;"",'4. Policy Interactive Screen'!L65,"")</f>
        <v/>
      </c>
      <c r="AD56" s="56" t="str">
        <f>IF('policy interact graph numbers'!AR65&lt;&gt;"",'policy interact graph numbers'!AR65,"")</f>
        <v/>
      </c>
    </row>
    <row r="57" spans="1:30" ht="15" thickBot="1" x14ac:dyDescent="0.45">
      <c r="A57" s="113">
        <v>52</v>
      </c>
      <c r="B57" s="310" t="str">
        <f>IF(Coverage!$B57="","",Coverage!$B57)</f>
        <v/>
      </c>
      <c r="C57" s="34" t="str">
        <f t="shared" si="11"/>
        <v/>
      </c>
      <c r="D57" s="308" t="str">
        <f t="shared" si="3"/>
        <v/>
      </c>
      <c r="E57" s="308" t="str">
        <f t="shared" si="4"/>
        <v/>
      </c>
      <c r="F57" s="308" t="str">
        <f t="shared" si="5"/>
        <v/>
      </c>
      <c r="G57" s="308" t="str">
        <f t="shared" si="6"/>
        <v/>
      </c>
      <c r="H57" s="34" t="str">
        <f t="shared" si="11"/>
        <v/>
      </c>
      <c r="I57" s="34" t="str">
        <f t="shared" si="10"/>
        <v/>
      </c>
      <c r="J57" s="34" t="str">
        <f t="shared" si="11"/>
        <v/>
      </c>
      <c r="K57" s="34" t="str">
        <f t="shared" si="11"/>
        <v/>
      </c>
      <c r="L57" s="202">
        <f>IFERROR(IF($I57="Urban",(VLOOKUP($K57,lookup_urban,L$1,FALSE)*$H57*Coverage!H57),IF($I57="Rural",(VLOOKUP($K57,lookup_rural,L$1,FALSE)*$H57*Coverage!G57),(VLOOKUP($K57,lookup_demography,L$1,FALSE)*$H57*Coverage!G57))),0)</f>
        <v>0</v>
      </c>
      <c r="M57" s="202">
        <f>IFERROR(IF($I57="Urban",(VLOOKUP($K57,lookup_urban,M$1,FALSE)*$H57*Coverage!I57),IF($I57="Rural",(VLOOKUP($K57,lookup_rural,M$1,FALSE)*$H57*Coverage!I57),(VLOOKUP($K57,lookup_demography,M$1,FALSE)*$H57*Coverage!I57))),0)</f>
        <v>0</v>
      </c>
      <c r="N57" s="202">
        <f>IFERROR(IF($I57="Urban",(VLOOKUP($K57,lookup_urban,N$1,FALSE)*$H57*Coverage!J57),IF($I57="Rural",(VLOOKUP($K57,lookup_rural,N$1,FALSE)*$H57*Coverage!J57),(VLOOKUP($K57,lookup_demography,N$1,FALSE)*$H57*Coverage!J57))),0)</f>
        <v>0</v>
      </c>
      <c r="O57" s="202">
        <f>IFERROR(IF($I57="Urban",(VLOOKUP($K57,lookup_urban,O$1,FALSE)*$H57*Coverage!K57),IF($I57="Rural",(VLOOKUP($K57,lookup_rural,O$1,FALSE)*$H57*Coverage!K57),(VLOOKUP($K57,lookup_demography,O$1,FALSE)*$H57*Coverage!K57))),0)</f>
        <v>0</v>
      </c>
      <c r="Q57">
        <f>L57*'3. Intervention Details'!$H57</f>
        <v>0</v>
      </c>
      <c r="R57">
        <f>M57*'3. Intervention Details'!$H57</f>
        <v>0</v>
      </c>
      <c r="S57">
        <f>N57*'3. Intervention Details'!$H57</f>
        <v>0</v>
      </c>
      <c r="T57">
        <f>O57*'3. Intervention Details'!$H57</f>
        <v>0</v>
      </c>
      <c r="AA57" s="56" t="str">
        <f>IF('4. Policy Interactive Screen'!F66&lt;&gt;"",'4. Policy Interactive Screen'!F66,"")</f>
        <v/>
      </c>
      <c r="AB57" s="56" t="str">
        <f>IF('4. Policy Interactive Screen'!I66&lt;&gt;"",'4. Policy Interactive Screen'!I66,"")</f>
        <v/>
      </c>
      <c r="AC57" s="56" t="str">
        <f>IF('4. Policy Interactive Screen'!L66&lt;&gt;"",'4. Policy Interactive Screen'!L66,"")</f>
        <v/>
      </c>
      <c r="AD57" s="56" t="str">
        <f>IF('policy interact graph numbers'!AR66&lt;&gt;"",'policy interact graph numbers'!AR66,"")</f>
        <v/>
      </c>
    </row>
    <row r="58" spans="1:30" ht="15" thickBot="1" x14ac:dyDescent="0.45">
      <c r="A58" s="113">
        <v>53</v>
      </c>
      <c r="B58" s="310" t="str">
        <f>IF(Coverage!$B58="","",Coverage!$B58)</f>
        <v/>
      </c>
      <c r="C58" s="34" t="str">
        <f t="shared" si="11"/>
        <v/>
      </c>
      <c r="D58" s="308" t="str">
        <f t="shared" si="3"/>
        <v/>
      </c>
      <c r="E58" s="308" t="str">
        <f t="shared" si="4"/>
        <v/>
      </c>
      <c r="F58" s="308" t="str">
        <f t="shared" si="5"/>
        <v/>
      </c>
      <c r="G58" s="308" t="str">
        <f t="shared" si="6"/>
        <v/>
      </c>
      <c r="H58" s="34" t="str">
        <f t="shared" si="11"/>
        <v/>
      </c>
      <c r="I58" s="34" t="str">
        <f t="shared" si="10"/>
        <v/>
      </c>
      <c r="J58" s="34" t="str">
        <f t="shared" si="11"/>
        <v/>
      </c>
      <c r="K58" s="34" t="str">
        <f t="shared" si="11"/>
        <v/>
      </c>
      <c r="L58" s="202">
        <f>IFERROR(IF($I58="Urban",(VLOOKUP($K58,lookup_urban,L$1,FALSE)*$H58*Coverage!H58),IF($I58="Rural",(VLOOKUP($K58,lookup_rural,L$1,FALSE)*$H58*Coverage!G58),(VLOOKUP($K58,lookup_demography,L$1,FALSE)*$H58*Coverage!G58))),0)</f>
        <v>0</v>
      </c>
      <c r="M58" s="202">
        <f>IFERROR(IF($I58="Urban",(VLOOKUP($K58,lookup_urban,M$1,FALSE)*$H58*Coverage!I58),IF($I58="Rural",(VLOOKUP($K58,lookup_rural,M$1,FALSE)*$H58*Coverage!I58),(VLOOKUP($K58,lookup_demography,M$1,FALSE)*$H58*Coverage!I58))),0)</f>
        <v>0</v>
      </c>
      <c r="N58" s="202">
        <f>IFERROR(IF($I58="Urban",(VLOOKUP($K58,lookup_urban,N$1,FALSE)*$H58*Coverage!J58),IF($I58="Rural",(VLOOKUP($K58,lookup_rural,N$1,FALSE)*$H58*Coverage!J58),(VLOOKUP($K58,lookup_demography,N$1,FALSE)*$H58*Coverage!J58))),0)</f>
        <v>0</v>
      </c>
      <c r="O58" s="202">
        <f>IFERROR(IF($I58="Urban",(VLOOKUP($K58,lookup_urban,O$1,FALSE)*$H58*Coverage!K58),IF($I58="Rural",(VLOOKUP($K58,lookup_rural,O$1,FALSE)*$H58*Coverage!K58),(VLOOKUP($K58,lookup_demography,O$1,FALSE)*$H58*Coverage!K58))),0)</f>
        <v>0</v>
      </c>
      <c r="Q58">
        <f>L58*'3. Intervention Details'!$H58</f>
        <v>0</v>
      </c>
      <c r="R58">
        <f>M58*'3. Intervention Details'!$H58</f>
        <v>0</v>
      </c>
      <c r="S58">
        <f>N58*'3. Intervention Details'!$H58</f>
        <v>0</v>
      </c>
      <c r="T58">
        <f>O58*'3. Intervention Details'!$H58</f>
        <v>0</v>
      </c>
      <c r="AA58" s="56" t="str">
        <f>IF('4. Policy Interactive Screen'!F67&lt;&gt;"",'4. Policy Interactive Screen'!F67,"")</f>
        <v/>
      </c>
      <c r="AB58" s="56" t="str">
        <f>IF('4. Policy Interactive Screen'!I67&lt;&gt;"",'4. Policy Interactive Screen'!I67,"")</f>
        <v/>
      </c>
      <c r="AC58" s="56" t="str">
        <f>IF('4. Policy Interactive Screen'!L67&lt;&gt;"",'4. Policy Interactive Screen'!L67,"")</f>
        <v/>
      </c>
      <c r="AD58" s="56" t="str">
        <f>IF('policy interact graph numbers'!AR67&lt;&gt;"",'policy interact graph numbers'!AR67,"")</f>
        <v/>
      </c>
    </row>
    <row r="59" spans="1:30" ht="15" thickBot="1" x14ac:dyDescent="0.45">
      <c r="A59" s="113">
        <v>54</v>
      </c>
      <c r="B59" s="310" t="str">
        <f>IF(Coverage!$B59="","",Coverage!$B59)</f>
        <v/>
      </c>
      <c r="C59" s="34" t="str">
        <f t="shared" si="11"/>
        <v/>
      </c>
      <c r="D59" s="308" t="str">
        <f t="shared" si="3"/>
        <v/>
      </c>
      <c r="E59" s="308" t="str">
        <f t="shared" si="4"/>
        <v/>
      </c>
      <c r="F59" s="308" t="str">
        <f t="shared" si="5"/>
        <v/>
      </c>
      <c r="G59" s="308" t="str">
        <f t="shared" si="6"/>
        <v/>
      </c>
      <c r="H59" s="34" t="str">
        <f t="shared" si="11"/>
        <v/>
      </c>
      <c r="I59" s="34" t="str">
        <f t="shared" si="10"/>
        <v/>
      </c>
      <c r="J59" s="34" t="str">
        <f t="shared" si="11"/>
        <v/>
      </c>
      <c r="K59" s="34" t="str">
        <f t="shared" si="11"/>
        <v/>
      </c>
      <c r="L59" s="202">
        <f>IFERROR(IF($I59="Urban",(VLOOKUP($K59,lookup_urban,L$1,FALSE)*$H59*Coverage!H59),IF($I59="Rural",(VLOOKUP($K59,lookup_rural,L$1,FALSE)*$H59*Coverage!G59),(VLOOKUP($K59,lookup_demography,L$1,FALSE)*$H59*Coverage!G59))),0)</f>
        <v>0</v>
      </c>
      <c r="M59" s="202">
        <f>IFERROR(IF($I59="Urban",(VLOOKUP($K59,lookup_urban,M$1,FALSE)*$H59*Coverage!I59),IF($I59="Rural",(VLOOKUP($K59,lookup_rural,M$1,FALSE)*$H59*Coverage!I59),(VLOOKUP($K59,lookup_demography,M$1,FALSE)*$H59*Coverage!I59))),0)</f>
        <v>0</v>
      </c>
      <c r="N59" s="202">
        <f>IFERROR(IF($I59="Urban",(VLOOKUP($K59,lookup_urban,N$1,FALSE)*$H59*Coverage!J59),IF($I59="Rural",(VLOOKUP($K59,lookup_rural,N$1,FALSE)*$H59*Coverage!J59),(VLOOKUP($K59,lookup_demography,N$1,FALSE)*$H59*Coverage!J59))),0)</f>
        <v>0</v>
      </c>
      <c r="O59" s="202">
        <f>IFERROR(IF($I59="Urban",(VLOOKUP($K59,lookup_urban,O$1,FALSE)*$H59*Coverage!K59),IF($I59="Rural",(VLOOKUP($K59,lookup_rural,O$1,FALSE)*$H59*Coverage!K59),(VLOOKUP($K59,lookup_demography,O$1,FALSE)*$H59*Coverage!K59))),0)</f>
        <v>0</v>
      </c>
      <c r="Q59">
        <f>L59*'3. Intervention Details'!$H59</f>
        <v>0</v>
      </c>
      <c r="R59">
        <f>M59*'3. Intervention Details'!$H59</f>
        <v>0</v>
      </c>
      <c r="S59">
        <f>N59*'3. Intervention Details'!$H59</f>
        <v>0</v>
      </c>
      <c r="T59">
        <f>O59*'3. Intervention Details'!$H59</f>
        <v>0</v>
      </c>
      <c r="AA59" s="56" t="str">
        <f>IF('4. Policy Interactive Screen'!F68&lt;&gt;"",'4. Policy Interactive Screen'!F68,"")</f>
        <v/>
      </c>
      <c r="AB59" s="56" t="str">
        <f>IF('4. Policy Interactive Screen'!I68&lt;&gt;"",'4. Policy Interactive Screen'!I68,"")</f>
        <v/>
      </c>
      <c r="AC59" s="56" t="str">
        <f>IF('4. Policy Interactive Screen'!L68&lt;&gt;"",'4. Policy Interactive Screen'!L68,"")</f>
        <v/>
      </c>
      <c r="AD59" s="56" t="str">
        <f>IF('policy interact graph numbers'!AR68&lt;&gt;"",'policy interact graph numbers'!AR68,"")</f>
        <v/>
      </c>
    </row>
    <row r="60" spans="1:30" ht="15" thickBot="1" x14ac:dyDescent="0.45">
      <c r="A60" s="113">
        <v>55</v>
      </c>
      <c r="B60" s="310" t="str">
        <f>IF(Coverage!$B60="","",Coverage!$B60)</f>
        <v/>
      </c>
      <c r="C60" s="34" t="str">
        <f t="shared" si="11"/>
        <v/>
      </c>
      <c r="D60" s="308" t="str">
        <f t="shared" si="3"/>
        <v/>
      </c>
      <c r="E60" s="308" t="str">
        <f t="shared" si="4"/>
        <v/>
      </c>
      <c r="F60" s="308" t="str">
        <f t="shared" si="5"/>
        <v/>
      </c>
      <c r="G60" s="308" t="str">
        <f t="shared" si="6"/>
        <v/>
      </c>
      <c r="H60" s="34" t="str">
        <f t="shared" si="11"/>
        <v/>
      </c>
      <c r="I60" s="34" t="str">
        <f t="shared" si="10"/>
        <v/>
      </c>
      <c r="J60" s="34" t="str">
        <f t="shared" si="11"/>
        <v/>
      </c>
      <c r="K60" s="34" t="str">
        <f t="shared" si="11"/>
        <v/>
      </c>
      <c r="L60" s="202">
        <f>IFERROR(IF($I60="Urban",(VLOOKUP($K60,lookup_urban,L$1,FALSE)*$H60*Coverage!H60),IF($I60="Rural",(VLOOKUP($K60,lookup_rural,L$1,FALSE)*$H60*Coverage!G60),(VLOOKUP($K60,lookup_demography,L$1,FALSE)*$H60*Coverage!G60))),0)</f>
        <v>0</v>
      </c>
      <c r="M60" s="202">
        <f>IFERROR(IF($I60="Urban",(VLOOKUP($K60,lookup_urban,M$1,FALSE)*$H60*Coverage!I60),IF($I60="Rural",(VLOOKUP($K60,lookup_rural,M$1,FALSE)*$H60*Coverage!I60),(VLOOKUP($K60,lookup_demography,M$1,FALSE)*$H60*Coverage!I60))),0)</f>
        <v>0</v>
      </c>
      <c r="N60" s="202">
        <f>IFERROR(IF($I60="Urban",(VLOOKUP($K60,lookup_urban,N$1,FALSE)*$H60*Coverage!J60),IF($I60="Rural",(VLOOKUP($K60,lookup_rural,N$1,FALSE)*$H60*Coverage!J60),(VLOOKUP($K60,lookup_demography,N$1,FALSE)*$H60*Coverage!J60))),0)</f>
        <v>0</v>
      </c>
      <c r="O60" s="202">
        <f>IFERROR(IF($I60="Urban",(VLOOKUP($K60,lookup_urban,O$1,FALSE)*$H60*Coverage!K60),IF($I60="Rural",(VLOOKUP($K60,lookup_rural,O$1,FALSE)*$H60*Coverage!K60),(VLOOKUP($K60,lookup_demography,O$1,FALSE)*$H60*Coverage!K60))),0)</f>
        <v>0</v>
      </c>
      <c r="Q60">
        <f>L60*'3. Intervention Details'!$H60</f>
        <v>0</v>
      </c>
      <c r="R60">
        <f>M60*'3. Intervention Details'!$H60</f>
        <v>0</v>
      </c>
      <c r="S60">
        <f>N60*'3. Intervention Details'!$H60</f>
        <v>0</v>
      </c>
      <c r="T60">
        <f>O60*'3. Intervention Details'!$H60</f>
        <v>0</v>
      </c>
      <c r="AA60" s="56" t="str">
        <f>IF('4. Policy Interactive Screen'!F69&lt;&gt;"",'4. Policy Interactive Screen'!F69,"")</f>
        <v/>
      </c>
      <c r="AB60" s="56" t="str">
        <f>IF('4. Policy Interactive Screen'!I69&lt;&gt;"",'4. Policy Interactive Screen'!I69,"")</f>
        <v/>
      </c>
      <c r="AC60" s="56" t="str">
        <f>IF('4. Policy Interactive Screen'!L69&lt;&gt;"",'4. Policy Interactive Screen'!L69,"")</f>
        <v/>
      </c>
      <c r="AD60" s="56" t="str">
        <f>IF('policy interact graph numbers'!AR69&lt;&gt;"",'policy interact graph numbers'!AR69,"")</f>
        <v/>
      </c>
    </row>
    <row r="61" spans="1:30" ht="15" thickBot="1" x14ac:dyDescent="0.45">
      <c r="A61" s="113">
        <v>56</v>
      </c>
      <c r="B61" s="310" t="str">
        <f>IF(Coverage!$B61="","",Coverage!$B61)</f>
        <v/>
      </c>
      <c r="C61" s="34" t="str">
        <f t="shared" si="11"/>
        <v/>
      </c>
      <c r="D61" s="308" t="str">
        <f t="shared" si="3"/>
        <v/>
      </c>
      <c r="E61" s="308" t="str">
        <f t="shared" si="4"/>
        <v/>
      </c>
      <c r="F61" s="308" t="str">
        <f t="shared" si="5"/>
        <v/>
      </c>
      <c r="G61" s="308" t="str">
        <f t="shared" si="6"/>
        <v/>
      </c>
      <c r="H61" s="34" t="str">
        <f t="shared" si="11"/>
        <v/>
      </c>
      <c r="I61" s="34" t="str">
        <f t="shared" si="10"/>
        <v/>
      </c>
      <c r="J61" s="34" t="str">
        <f t="shared" si="11"/>
        <v/>
      </c>
      <c r="K61" s="34" t="str">
        <f t="shared" si="11"/>
        <v/>
      </c>
      <c r="L61" s="202">
        <f>IFERROR(IF($I61="Urban",(VLOOKUP($K61,lookup_urban,L$1,FALSE)*$H61*Coverage!H61),IF($I61="Rural",(VLOOKUP($K61,lookup_rural,L$1,FALSE)*$H61*Coverage!G61),(VLOOKUP($K61,lookup_demography,L$1,FALSE)*$H61*Coverage!G61))),0)</f>
        <v>0</v>
      </c>
      <c r="M61" s="202">
        <f>IFERROR(IF($I61="Urban",(VLOOKUP($K61,lookup_urban,M$1,FALSE)*$H61*Coverage!I61),IF($I61="Rural",(VLOOKUP($K61,lookup_rural,M$1,FALSE)*$H61*Coverage!I61),(VLOOKUP($K61,lookup_demography,M$1,FALSE)*$H61*Coverage!I61))),0)</f>
        <v>0</v>
      </c>
      <c r="N61" s="202">
        <f>IFERROR(IF($I61="Urban",(VLOOKUP($K61,lookup_urban,N$1,FALSE)*$H61*Coverage!J61),IF($I61="Rural",(VLOOKUP($K61,lookup_rural,N$1,FALSE)*$H61*Coverage!J61),(VLOOKUP($K61,lookup_demography,N$1,FALSE)*$H61*Coverage!J61))),0)</f>
        <v>0</v>
      </c>
      <c r="O61" s="202">
        <f>IFERROR(IF($I61="Urban",(VLOOKUP($K61,lookup_urban,O$1,FALSE)*$H61*Coverage!K61),IF($I61="Rural",(VLOOKUP($K61,lookup_rural,O$1,FALSE)*$H61*Coverage!K61),(VLOOKUP($K61,lookup_demography,O$1,FALSE)*$H61*Coverage!K61))),0)</f>
        <v>0</v>
      </c>
      <c r="Q61">
        <f>L61*'3. Intervention Details'!$H61</f>
        <v>0</v>
      </c>
      <c r="R61">
        <f>M61*'3. Intervention Details'!$H61</f>
        <v>0</v>
      </c>
      <c r="S61">
        <f>N61*'3. Intervention Details'!$H61</f>
        <v>0</v>
      </c>
      <c r="T61">
        <f>O61*'3. Intervention Details'!$H61</f>
        <v>0</v>
      </c>
      <c r="AA61" s="56" t="str">
        <f>IF('4. Policy Interactive Screen'!F70&lt;&gt;"",'4. Policy Interactive Screen'!F70,"")</f>
        <v/>
      </c>
      <c r="AB61" s="56" t="str">
        <f>IF('4. Policy Interactive Screen'!I70&lt;&gt;"",'4. Policy Interactive Screen'!I70,"")</f>
        <v/>
      </c>
      <c r="AC61" s="56" t="str">
        <f>IF('4. Policy Interactive Screen'!L70&lt;&gt;"",'4. Policy Interactive Screen'!L70,"")</f>
        <v/>
      </c>
      <c r="AD61" s="56" t="str">
        <f>IF('policy interact graph numbers'!AR70&lt;&gt;"",'policy interact graph numbers'!AR70,"")</f>
        <v/>
      </c>
    </row>
    <row r="62" spans="1:30" ht="15" thickBot="1" x14ac:dyDescent="0.45">
      <c r="A62" s="113">
        <v>57</v>
      </c>
      <c r="B62" s="310" t="str">
        <f>IF(Coverage!$B62="","",Coverage!$B62)</f>
        <v/>
      </c>
      <c r="C62" s="34" t="str">
        <f t="shared" si="11"/>
        <v/>
      </c>
      <c r="D62" s="308" t="str">
        <f t="shared" si="3"/>
        <v/>
      </c>
      <c r="E62" s="308" t="str">
        <f t="shared" si="4"/>
        <v/>
      </c>
      <c r="F62" s="308" t="str">
        <f t="shared" si="5"/>
        <v/>
      </c>
      <c r="G62" s="308" t="str">
        <f t="shared" si="6"/>
        <v/>
      </c>
      <c r="H62" s="34" t="str">
        <f t="shared" si="11"/>
        <v/>
      </c>
      <c r="I62" s="34" t="str">
        <f t="shared" si="11"/>
        <v/>
      </c>
      <c r="J62" s="34" t="str">
        <f t="shared" si="11"/>
        <v/>
      </c>
      <c r="K62" s="34" t="str">
        <f t="shared" si="11"/>
        <v/>
      </c>
      <c r="L62" s="202">
        <f>IFERROR(IF($I62="Urban",(VLOOKUP($K62,lookup_urban,L$1,FALSE)*$H62*Coverage!H62),IF($I62="Rural",(VLOOKUP($K62,lookup_rural,L$1,FALSE)*$H62*Coverage!G62),(VLOOKUP($K62,lookup_demography,L$1,FALSE)*$H62*Coverage!G62))),0)</f>
        <v>0</v>
      </c>
      <c r="M62" s="202">
        <f>IFERROR(IF($I62="Urban",(VLOOKUP($K62,lookup_urban,M$1,FALSE)*$H62*Coverage!I62),IF($I62="Rural",(VLOOKUP($K62,lookup_rural,M$1,FALSE)*$H62*Coverage!I62),(VLOOKUP($K62,lookup_demography,M$1,FALSE)*$H62*Coverage!I62))),0)</f>
        <v>0</v>
      </c>
      <c r="N62" s="202">
        <f>IFERROR(IF($I62="Urban",(VLOOKUP($K62,lookup_urban,N$1,FALSE)*$H62*Coverage!J62),IF($I62="Rural",(VLOOKUP($K62,lookup_rural,N$1,FALSE)*$H62*Coverage!J62),(VLOOKUP($K62,lookup_demography,N$1,FALSE)*$H62*Coverage!J62))),0)</f>
        <v>0</v>
      </c>
      <c r="O62" s="202">
        <f>IFERROR(IF($I62="Urban",(VLOOKUP($K62,lookup_urban,O$1,FALSE)*$H62*Coverage!K62),IF($I62="Rural",(VLOOKUP($K62,lookup_rural,O$1,FALSE)*$H62*Coverage!K62),(VLOOKUP($K62,lookup_demography,O$1,FALSE)*$H62*Coverage!K62))),0)</f>
        <v>0</v>
      </c>
      <c r="Q62">
        <f>L62*'3. Intervention Details'!$H62</f>
        <v>0</v>
      </c>
      <c r="R62">
        <f>M62*'3. Intervention Details'!$H62</f>
        <v>0</v>
      </c>
      <c r="S62">
        <f>N62*'3. Intervention Details'!$H62</f>
        <v>0</v>
      </c>
      <c r="T62">
        <f>O62*'3. Intervention Details'!$H62</f>
        <v>0</v>
      </c>
      <c r="AA62" s="56" t="str">
        <f>IF('4. Policy Interactive Screen'!F71&lt;&gt;"",'4. Policy Interactive Screen'!F71,"")</f>
        <v/>
      </c>
      <c r="AB62" s="56" t="str">
        <f>IF('4. Policy Interactive Screen'!I71&lt;&gt;"",'4. Policy Interactive Screen'!I71,"")</f>
        <v/>
      </c>
      <c r="AC62" s="56" t="str">
        <f>IF('4. Policy Interactive Screen'!L71&lt;&gt;"",'4. Policy Interactive Screen'!L71,"")</f>
        <v/>
      </c>
      <c r="AD62" s="56" t="str">
        <f>IF('policy interact graph numbers'!AR71&lt;&gt;"",'policy interact graph numbers'!AR71,"")</f>
        <v/>
      </c>
    </row>
    <row r="63" spans="1:30" ht="15" thickBot="1" x14ac:dyDescent="0.45">
      <c r="A63" s="113">
        <v>58</v>
      </c>
      <c r="B63" s="310" t="str">
        <f>IF(Coverage!$B63="","",Coverage!$B63)</f>
        <v/>
      </c>
      <c r="C63" s="34" t="str">
        <f t="shared" si="11"/>
        <v/>
      </c>
      <c r="D63" s="308" t="str">
        <f t="shared" si="3"/>
        <v/>
      </c>
      <c r="E63" s="308" t="str">
        <f t="shared" si="4"/>
        <v/>
      </c>
      <c r="F63" s="308" t="str">
        <f t="shared" si="5"/>
        <v/>
      </c>
      <c r="G63" s="308" t="str">
        <f t="shared" si="6"/>
        <v/>
      </c>
      <c r="H63" s="34" t="str">
        <f t="shared" si="11"/>
        <v/>
      </c>
      <c r="I63" s="34" t="str">
        <f t="shared" si="11"/>
        <v/>
      </c>
      <c r="J63" s="34" t="str">
        <f t="shared" si="11"/>
        <v/>
      </c>
      <c r="K63" s="34" t="str">
        <f t="shared" si="11"/>
        <v/>
      </c>
      <c r="L63" s="202">
        <f>IFERROR(IF($I63="Urban",(VLOOKUP($K63,lookup_urban,L$1,FALSE)*$H63*Coverage!H63),IF($I63="Rural",(VLOOKUP($K63,lookup_rural,L$1,FALSE)*$H63*Coverage!G63),(VLOOKUP($K63,lookup_demography,L$1,FALSE)*$H63*Coverage!G63))),0)</f>
        <v>0</v>
      </c>
      <c r="M63" s="202">
        <f>IFERROR(IF($I63="Urban",(VLOOKUP($K63,lookup_urban,M$1,FALSE)*$H63*Coverage!I63),IF($I63="Rural",(VLOOKUP($K63,lookup_rural,M$1,FALSE)*$H63*Coverage!I63),(VLOOKUP($K63,lookup_demography,M$1,FALSE)*$H63*Coverage!I63))),0)</f>
        <v>0</v>
      </c>
      <c r="N63" s="202">
        <f>IFERROR(IF($I63="Urban",(VLOOKUP($K63,lookup_urban,N$1,FALSE)*$H63*Coverage!J63),IF($I63="Rural",(VLOOKUP($K63,lookup_rural,N$1,FALSE)*$H63*Coverage!J63),(VLOOKUP($K63,lookup_demography,N$1,FALSE)*$H63*Coverage!J63))),0)</f>
        <v>0</v>
      </c>
      <c r="O63" s="202">
        <f>IFERROR(IF($I63="Urban",(VLOOKUP($K63,lookup_urban,O$1,FALSE)*$H63*Coverage!K63),IF($I63="Rural",(VLOOKUP($K63,lookup_rural,O$1,FALSE)*$H63*Coverage!K63),(VLOOKUP($K63,lookup_demography,O$1,FALSE)*$H63*Coverage!K63))),0)</f>
        <v>0</v>
      </c>
      <c r="Q63">
        <f>L63*'3. Intervention Details'!$H63</f>
        <v>0</v>
      </c>
      <c r="R63">
        <f>M63*'3. Intervention Details'!$H63</f>
        <v>0</v>
      </c>
      <c r="S63">
        <f>N63*'3. Intervention Details'!$H63</f>
        <v>0</v>
      </c>
      <c r="T63">
        <f>O63*'3. Intervention Details'!$H63</f>
        <v>0</v>
      </c>
      <c r="AA63" s="56" t="str">
        <f>IF('4. Policy Interactive Screen'!F72&lt;&gt;"",'4. Policy Interactive Screen'!F72,"")</f>
        <v/>
      </c>
      <c r="AB63" s="56" t="str">
        <f>IF('4. Policy Interactive Screen'!I72&lt;&gt;"",'4. Policy Interactive Screen'!I72,"")</f>
        <v/>
      </c>
      <c r="AC63" s="56" t="str">
        <f>IF('4. Policy Interactive Screen'!L72&lt;&gt;"",'4. Policy Interactive Screen'!L72,"")</f>
        <v/>
      </c>
      <c r="AD63" s="56" t="str">
        <f>IF('policy interact graph numbers'!AR72&lt;&gt;"",'policy interact graph numbers'!AR72,"")</f>
        <v/>
      </c>
    </row>
    <row r="64" spans="1:30" ht="15" thickBot="1" x14ac:dyDescent="0.45">
      <c r="A64" s="113">
        <v>59</v>
      </c>
      <c r="B64" s="310" t="str">
        <f>IF(Coverage!$B64="","",Coverage!$B64)</f>
        <v/>
      </c>
      <c r="C64" s="34" t="str">
        <f t="shared" si="11"/>
        <v/>
      </c>
      <c r="D64" s="308" t="str">
        <f t="shared" si="3"/>
        <v/>
      </c>
      <c r="E64" s="308" t="str">
        <f t="shared" si="4"/>
        <v/>
      </c>
      <c r="F64" s="308" t="str">
        <f t="shared" si="5"/>
        <v/>
      </c>
      <c r="G64" s="308" t="str">
        <f t="shared" si="6"/>
        <v/>
      </c>
      <c r="H64" s="34" t="str">
        <f t="shared" si="11"/>
        <v/>
      </c>
      <c r="I64" s="34" t="str">
        <f t="shared" si="11"/>
        <v/>
      </c>
      <c r="J64" s="34" t="str">
        <f t="shared" si="11"/>
        <v/>
      </c>
      <c r="K64" s="34" t="str">
        <f t="shared" si="11"/>
        <v/>
      </c>
      <c r="L64" s="202">
        <f>IFERROR(IF($I64="Urban",(VLOOKUP($K64,lookup_urban,L$1,FALSE)*$H64*Coverage!H64),IF($I64="Rural",(VLOOKUP($K64,lookup_rural,L$1,FALSE)*$H64*Coverage!G64),(VLOOKUP($K64,lookup_demography,L$1,FALSE)*$H64*Coverage!G64))),0)</f>
        <v>0</v>
      </c>
      <c r="M64" s="202">
        <f>IFERROR(IF($I64="Urban",(VLOOKUP($K64,lookup_urban,M$1,FALSE)*$H64*Coverage!I64),IF($I64="Rural",(VLOOKUP($K64,lookup_rural,M$1,FALSE)*$H64*Coverage!I64),(VLOOKUP($K64,lookup_demography,M$1,FALSE)*$H64*Coverage!I64))),0)</f>
        <v>0</v>
      </c>
      <c r="N64" s="202">
        <f>IFERROR(IF($I64="Urban",(VLOOKUP($K64,lookup_urban,N$1,FALSE)*$H64*Coverage!J64),IF($I64="Rural",(VLOOKUP($K64,lookup_rural,N$1,FALSE)*$H64*Coverage!J64),(VLOOKUP($K64,lookup_demography,N$1,FALSE)*$H64*Coverage!J64))),0)</f>
        <v>0</v>
      </c>
      <c r="O64" s="202">
        <f>IFERROR(IF($I64="Urban",(VLOOKUP($K64,lookup_urban,O$1,FALSE)*$H64*Coverage!K64),IF($I64="Rural",(VLOOKUP($K64,lookup_rural,O$1,FALSE)*$H64*Coverage!K64),(VLOOKUP($K64,lookup_demography,O$1,FALSE)*$H64*Coverage!K64))),0)</f>
        <v>0</v>
      </c>
      <c r="Q64">
        <f>L64*'3. Intervention Details'!$H64</f>
        <v>0</v>
      </c>
      <c r="R64">
        <f>M64*'3. Intervention Details'!$H64</f>
        <v>0</v>
      </c>
      <c r="S64">
        <f>N64*'3. Intervention Details'!$H64</f>
        <v>0</v>
      </c>
      <c r="T64">
        <f>O64*'3. Intervention Details'!$H64</f>
        <v>0</v>
      </c>
      <c r="AA64" s="56" t="str">
        <f>IF('4. Policy Interactive Screen'!F73&lt;&gt;"",'4. Policy Interactive Screen'!F73,"")</f>
        <v/>
      </c>
      <c r="AB64" s="56" t="str">
        <f>IF('4. Policy Interactive Screen'!I73&lt;&gt;"",'4. Policy Interactive Screen'!I73,"")</f>
        <v/>
      </c>
      <c r="AC64" s="56" t="str">
        <f>IF('4. Policy Interactive Screen'!L73&lt;&gt;"",'4. Policy Interactive Screen'!L73,"")</f>
        <v/>
      </c>
      <c r="AD64" s="56" t="str">
        <f>IF('policy interact graph numbers'!AR73&lt;&gt;"",'policy interact graph numbers'!AR73,"")</f>
        <v/>
      </c>
    </row>
    <row r="65" spans="1:30" ht="15" thickBot="1" x14ac:dyDescent="0.45">
      <c r="A65" s="113">
        <v>60</v>
      </c>
      <c r="B65" s="310" t="str">
        <f>IF(Coverage!$B65="","",Coverage!$B65)</f>
        <v/>
      </c>
      <c r="C65" s="34" t="str">
        <f t="shared" si="11"/>
        <v/>
      </c>
      <c r="D65" s="308" t="str">
        <f t="shared" si="3"/>
        <v/>
      </c>
      <c r="E65" s="308" t="str">
        <f t="shared" si="4"/>
        <v/>
      </c>
      <c r="F65" s="308" t="str">
        <f t="shared" si="5"/>
        <v/>
      </c>
      <c r="G65" s="308" t="str">
        <f t="shared" si="6"/>
        <v/>
      </c>
      <c r="H65" s="34" t="str">
        <f t="shared" si="11"/>
        <v/>
      </c>
      <c r="I65" s="34" t="str">
        <f t="shared" si="11"/>
        <v/>
      </c>
      <c r="J65" s="34" t="str">
        <f t="shared" si="11"/>
        <v/>
      </c>
      <c r="K65" s="34" t="str">
        <f t="shared" si="11"/>
        <v/>
      </c>
      <c r="L65" s="202">
        <f>IFERROR(IF($I65="Urban",(VLOOKUP($K65,lookup_urban,L$1,FALSE)*$H65*Coverage!H65),IF($I65="Rural",(VLOOKUP($K65,lookup_rural,L$1,FALSE)*$H65*Coverage!G65),(VLOOKUP($K65,lookup_demography,L$1,FALSE)*$H65*Coverage!G65))),0)</f>
        <v>0</v>
      </c>
      <c r="M65" s="202">
        <f>IFERROR(IF($I65="Urban",(VLOOKUP($K65,lookup_urban,M$1,FALSE)*$H65*Coverage!I65),IF($I65="Rural",(VLOOKUP($K65,lookup_rural,M$1,FALSE)*$H65*Coverage!I65),(VLOOKUP($K65,lookup_demography,M$1,FALSE)*$H65*Coverage!I65))),0)</f>
        <v>0</v>
      </c>
      <c r="N65" s="202">
        <f>IFERROR(IF($I65="Urban",(VLOOKUP($K65,lookup_urban,N$1,FALSE)*$H65*Coverage!J65),IF($I65="Rural",(VLOOKUP($K65,lookup_rural,N$1,FALSE)*$H65*Coverage!J65),(VLOOKUP($K65,lookup_demography,N$1,FALSE)*$H65*Coverage!J65))),0)</f>
        <v>0</v>
      </c>
      <c r="O65" s="202">
        <f>IFERROR(IF($I65="Urban",(VLOOKUP($K65,lookup_urban,O$1,FALSE)*$H65*Coverage!K65),IF($I65="Rural",(VLOOKUP($K65,lookup_rural,O$1,FALSE)*$H65*Coverage!K65),(VLOOKUP($K65,lookup_demography,O$1,FALSE)*$H65*Coverage!K65))),0)</f>
        <v>0</v>
      </c>
      <c r="Q65">
        <f>L65*'3. Intervention Details'!$H65</f>
        <v>0</v>
      </c>
      <c r="R65">
        <f>M65*'3. Intervention Details'!$H65</f>
        <v>0</v>
      </c>
      <c r="S65">
        <f>N65*'3. Intervention Details'!$H65</f>
        <v>0</v>
      </c>
      <c r="T65">
        <f>O65*'3. Intervention Details'!$H65</f>
        <v>0</v>
      </c>
      <c r="AA65" s="56" t="str">
        <f>IF('4. Policy Interactive Screen'!F74&lt;&gt;"",'4. Policy Interactive Screen'!F74,"")</f>
        <v/>
      </c>
      <c r="AB65" s="56" t="str">
        <f>IF('4. Policy Interactive Screen'!I74&lt;&gt;"",'4. Policy Interactive Screen'!I74,"")</f>
        <v/>
      </c>
      <c r="AC65" s="56" t="str">
        <f>IF('4. Policy Interactive Screen'!L74&lt;&gt;"",'4. Policy Interactive Screen'!L74,"")</f>
        <v/>
      </c>
      <c r="AD65" s="56" t="str">
        <f>IF('policy interact graph numbers'!AR74&lt;&gt;"",'policy interact graph numbers'!AR74,"")</f>
        <v/>
      </c>
    </row>
    <row r="66" spans="1:30" ht="15" thickBot="1" x14ac:dyDescent="0.45">
      <c r="A66" s="113">
        <v>61</v>
      </c>
      <c r="B66" s="310" t="str">
        <f>IF(Coverage!$B66="","",Coverage!$B66)</f>
        <v/>
      </c>
      <c r="C66" s="34" t="str">
        <f t="shared" ref="C66:K81" si="12">IFERROR((VLOOKUP($B66,lookup_masterlist,C$1,FALSE)),"")</f>
        <v/>
      </c>
      <c r="D66" s="308" t="str">
        <f t="shared" si="3"/>
        <v/>
      </c>
      <c r="E66" s="308" t="str">
        <f t="shared" si="4"/>
        <v/>
      </c>
      <c r="F66" s="308" t="str">
        <f t="shared" si="5"/>
        <v/>
      </c>
      <c r="G66" s="308" t="str">
        <f t="shared" si="6"/>
        <v/>
      </c>
      <c r="H66" s="34" t="str">
        <f t="shared" si="12"/>
        <v/>
      </c>
      <c r="I66" s="34" t="str">
        <f t="shared" si="11"/>
        <v/>
      </c>
      <c r="J66" s="34" t="str">
        <f t="shared" si="12"/>
        <v/>
      </c>
      <c r="K66" s="34" t="str">
        <f t="shared" si="12"/>
        <v/>
      </c>
      <c r="L66" s="202">
        <f>IFERROR(IF($I66="Urban",(VLOOKUP($K66,lookup_urban,L$1,FALSE)*$H66*Coverage!H66),IF($I66="Rural",(VLOOKUP($K66,lookup_rural,L$1,FALSE)*$H66*Coverage!G66),(VLOOKUP($K66,lookup_demography,L$1,FALSE)*$H66*Coverage!G66))),0)</f>
        <v>0</v>
      </c>
      <c r="M66" s="202">
        <f>IFERROR(IF($I66="Urban",(VLOOKUP($K66,lookup_urban,M$1,FALSE)*$H66*Coverage!I66),IF($I66="Rural",(VLOOKUP($K66,lookup_rural,M$1,FALSE)*$H66*Coverage!I66),(VLOOKUP($K66,lookup_demography,M$1,FALSE)*$H66*Coverage!I66))),0)</f>
        <v>0</v>
      </c>
      <c r="N66" s="202">
        <f>IFERROR(IF($I66="Urban",(VLOOKUP($K66,lookup_urban,N$1,FALSE)*$H66*Coverage!J66),IF($I66="Rural",(VLOOKUP($K66,lookup_rural,N$1,FALSE)*$H66*Coverage!J66),(VLOOKUP($K66,lookup_demography,N$1,FALSE)*$H66*Coverage!J66))),0)</f>
        <v>0</v>
      </c>
      <c r="O66" s="202">
        <f>IFERROR(IF($I66="Urban",(VLOOKUP($K66,lookup_urban,O$1,FALSE)*$H66*Coverage!K66),IF($I66="Rural",(VLOOKUP($K66,lookup_rural,O$1,FALSE)*$H66*Coverage!K66),(VLOOKUP($K66,lookup_demography,O$1,FALSE)*$H66*Coverage!K66))),0)</f>
        <v>0</v>
      </c>
      <c r="Q66">
        <f>L66*'3. Intervention Details'!$H66</f>
        <v>0</v>
      </c>
      <c r="R66">
        <f>M66*'3. Intervention Details'!$H66</f>
        <v>0</v>
      </c>
      <c r="S66">
        <f>N66*'3. Intervention Details'!$H66</f>
        <v>0</v>
      </c>
      <c r="T66">
        <f>O66*'3. Intervention Details'!$H66</f>
        <v>0</v>
      </c>
      <c r="AA66" s="56" t="str">
        <f>IF('4. Policy Interactive Screen'!F75&lt;&gt;"",'4. Policy Interactive Screen'!F75,"")</f>
        <v/>
      </c>
      <c r="AB66" s="56" t="str">
        <f>IF('4. Policy Interactive Screen'!I75&lt;&gt;"",'4. Policy Interactive Screen'!I75,"")</f>
        <v/>
      </c>
      <c r="AC66" s="56" t="str">
        <f>IF('4. Policy Interactive Screen'!L75&lt;&gt;"",'4. Policy Interactive Screen'!L75,"")</f>
        <v/>
      </c>
      <c r="AD66" s="56" t="str">
        <f>IF('policy interact graph numbers'!AR75&lt;&gt;"",'policy interact graph numbers'!AR75,"")</f>
        <v/>
      </c>
    </row>
    <row r="67" spans="1:30" ht="15" thickBot="1" x14ac:dyDescent="0.45">
      <c r="A67" s="113">
        <v>62</v>
      </c>
      <c r="B67" s="310" t="str">
        <f>IF(Coverage!$B67="","",Coverage!$B67)</f>
        <v/>
      </c>
      <c r="C67" s="34" t="str">
        <f t="shared" si="12"/>
        <v/>
      </c>
      <c r="D67" s="308" t="str">
        <f t="shared" si="3"/>
        <v/>
      </c>
      <c r="E67" s="308" t="str">
        <f t="shared" si="4"/>
        <v/>
      </c>
      <c r="F67" s="308" t="str">
        <f t="shared" si="5"/>
        <v/>
      </c>
      <c r="G67" s="308" t="str">
        <f t="shared" si="6"/>
        <v/>
      </c>
      <c r="H67" s="34" t="str">
        <f t="shared" si="12"/>
        <v/>
      </c>
      <c r="I67" s="34" t="str">
        <f t="shared" si="11"/>
        <v/>
      </c>
      <c r="J67" s="34" t="str">
        <f t="shared" si="12"/>
        <v/>
      </c>
      <c r="K67" s="34" t="str">
        <f t="shared" si="12"/>
        <v/>
      </c>
      <c r="L67" s="202">
        <f>IFERROR(IF($I67="Urban",(VLOOKUP($K67,lookup_urban,L$1,FALSE)*$H67*Coverage!H67),IF($I67="Rural",(VLOOKUP($K67,lookup_rural,L$1,FALSE)*$H67*Coverage!G67),(VLOOKUP($K67,lookup_demography,L$1,FALSE)*$H67*Coverage!G67))),0)</f>
        <v>0</v>
      </c>
      <c r="M67" s="202">
        <f>IFERROR(IF($I67="Urban",(VLOOKUP($K67,lookup_urban,M$1,FALSE)*$H67*Coverage!I67),IF($I67="Rural",(VLOOKUP($K67,lookup_rural,M$1,FALSE)*$H67*Coverage!I67),(VLOOKUP($K67,lookup_demography,M$1,FALSE)*$H67*Coverage!I67))),0)</f>
        <v>0</v>
      </c>
      <c r="N67" s="202">
        <f>IFERROR(IF($I67="Urban",(VLOOKUP($K67,lookup_urban,N$1,FALSE)*$H67*Coverage!J67),IF($I67="Rural",(VLOOKUP($K67,lookup_rural,N$1,FALSE)*$H67*Coverage!J67),(VLOOKUP($K67,lookup_demography,N$1,FALSE)*$H67*Coverage!J67))),0)</f>
        <v>0</v>
      </c>
      <c r="O67" s="202">
        <f>IFERROR(IF($I67="Urban",(VLOOKUP($K67,lookup_urban,O$1,FALSE)*$H67*Coverage!K67),IF($I67="Rural",(VLOOKUP($K67,lookup_rural,O$1,FALSE)*$H67*Coverage!K67),(VLOOKUP($K67,lookup_demography,O$1,FALSE)*$H67*Coverage!K67))),0)</f>
        <v>0</v>
      </c>
      <c r="Q67">
        <f>L67*'3. Intervention Details'!$H67</f>
        <v>0</v>
      </c>
      <c r="R67">
        <f>M67*'3. Intervention Details'!$H67</f>
        <v>0</v>
      </c>
      <c r="S67">
        <f>N67*'3. Intervention Details'!$H67</f>
        <v>0</v>
      </c>
      <c r="T67">
        <f>O67*'3. Intervention Details'!$H67</f>
        <v>0</v>
      </c>
      <c r="AA67" s="56" t="str">
        <f>IF('4. Policy Interactive Screen'!F76&lt;&gt;"",'4. Policy Interactive Screen'!F76,"")</f>
        <v/>
      </c>
      <c r="AB67" s="56" t="str">
        <f>IF('4. Policy Interactive Screen'!I76&lt;&gt;"",'4. Policy Interactive Screen'!I76,"")</f>
        <v/>
      </c>
      <c r="AC67" s="56" t="str">
        <f>IF('4. Policy Interactive Screen'!L76&lt;&gt;"",'4. Policy Interactive Screen'!L76,"")</f>
        <v/>
      </c>
      <c r="AD67" s="56" t="str">
        <f>IF('policy interact graph numbers'!AR76&lt;&gt;"",'policy interact graph numbers'!AR76,"")</f>
        <v/>
      </c>
    </row>
    <row r="68" spans="1:30" ht="15" thickBot="1" x14ac:dyDescent="0.45">
      <c r="A68" s="113">
        <v>63</v>
      </c>
      <c r="B68" s="310" t="str">
        <f>IF(Coverage!$B68="","",Coverage!$B68)</f>
        <v/>
      </c>
      <c r="C68" s="34" t="str">
        <f t="shared" si="12"/>
        <v/>
      </c>
      <c r="D68" s="308" t="str">
        <f t="shared" si="3"/>
        <v/>
      </c>
      <c r="E68" s="308" t="str">
        <f t="shared" si="4"/>
        <v/>
      </c>
      <c r="F68" s="308" t="str">
        <f t="shared" si="5"/>
        <v/>
      </c>
      <c r="G68" s="308" t="str">
        <f t="shared" si="6"/>
        <v/>
      </c>
      <c r="H68" s="34" t="str">
        <f t="shared" si="12"/>
        <v/>
      </c>
      <c r="I68" s="34" t="str">
        <f t="shared" si="11"/>
        <v/>
      </c>
      <c r="J68" s="34" t="str">
        <f t="shared" si="12"/>
        <v/>
      </c>
      <c r="K68" s="34" t="str">
        <f t="shared" si="12"/>
        <v/>
      </c>
      <c r="L68" s="202">
        <f>IFERROR(IF($I68="Urban",(VLOOKUP($K68,lookup_urban,L$1,FALSE)*$H68*Coverage!H68),IF($I68="Rural",(VLOOKUP($K68,lookup_rural,L$1,FALSE)*$H68*Coverage!G68),(VLOOKUP($K68,lookup_demography,L$1,FALSE)*$H68*Coverage!G68))),0)</f>
        <v>0</v>
      </c>
      <c r="M68" s="202">
        <f>IFERROR(IF($I68="Urban",(VLOOKUP($K68,lookup_urban,M$1,FALSE)*$H68*Coverage!I68),IF($I68="Rural",(VLOOKUP($K68,lookup_rural,M$1,FALSE)*$H68*Coverage!I68),(VLOOKUP($K68,lookup_demography,M$1,FALSE)*$H68*Coverage!I68))),0)</f>
        <v>0</v>
      </c>
      <c r="N68" s="202">
        <f>IFERROR(IF($I68="Urban",(VLOOKUP($K68,lookup_urban,N$1,FALSE)*$H68*Coverage!J68),IF($I68="Rural",(VLOOKUP($K68,lookup_rural,N$1,FALSE)*$H68*Coverage!J68),(VLOOKUP($K68,lookup_demography,N$1,FALSE)*$H68*Coverage!J68))),0)</f>
        <v>0</v>
      </c>
      <c r="O68" s="202">
        <f>IFERROR(IF($I68="Urban",(VLOOKUP($K68,lookup_urban,O$1,FALSE)*$H68*Coverage!K68),IF($I68="Rural",(VLOOKUP($K68,lookup_rural,O$1,FALSE)*$H68*Coverage!K68),(VLOOKUP($K68,lookup_demography,O$1,FALSE)*$H68*Coverage!K68))),0)</f>
        <v>0</v>
      </c>
      <c r="Q68">
        <f>L68*'3. Intervention Details'!$H68</f>
        <v>0</v>
      </c>
      <c r="R68">
        <f>M68*'3. Intervention Details'!$H68</f>
        <v>0</v>
      </c>
      <c r="S68">
        <f>N68*'3. Intervention Details'!$H68</f>
        <v>0</v>
      </c>
      <c r="T68">
        <f>O68*'3. Intervention Details'!$H68</f>
        <v>0</v>
      </c>
      <c r="AA68" s="56" t="str">
        <f>IF('4. Policy Interactive Screen'!F77&lt;&gt;"",'4. Policy Interactive Screen'!F77,"")</f>
        <v/>
      </c>
      <c r="AB68" s="56" t="str">
        <f>IF('4. Policy Interactive Screen'!I77&lt;&gt;"",'4. Policy Interactive Screen'!I77,"")</f>
        <v/>
      </c>
      <c r="AC68" s="56" t="str">
        <f>IF('4. Policy Interactive Screen'!L77&lt;&gt;"",'4. Policy Interactive Screen'!L77,"")</f>
        <v/>
      </c>
      <c r="AD68" s="56" t="str">
        <f>IF('policy interact graph numbers'!AR77&lt;&gt;"",'policy interact graph numbers'!AR77,"")</f>
        <v/>
      </c>
    </row>
    <row r="69" spans="1:30" ht="15" thickBot="1" x14ac:dyDescent="0.45">
      <c r="A69" s="113">
        <v>64</v>
      </c>
      <c r="B69" s="310" t="str">
        <f>IF(Coverage!$B69="","",Coverage!$B69)</f>
        <v/>
      </c>
      <c r="C69" s="34" t="str">
        <f t="shared" si="12"/>
        <v/>
      </c>
      <c r="D69" s="308" t="str">
        <f t="shared" si="3"/>
        <v/>
      </c>
      <c r="E69" s="308" t="str">
        <f t="shared" si="4"/>
        <v/>
      </c>
      <c r="F69" s="308" t="str">
        <f t="shared" si="5"/>
        <v/>
      </c>
      <c r="G69" s="308" t="str">
        <f t="shared" si="6"/>
        <v/>
      </c>
      <c r="H69" s="34" t="str">
        <f t="shared" si="12"/>
        <v/>
      </c>
      <c r="I69" s="34" t="str">
        <f t="shared" si="11"/>
        <v/>
      </c>
      <c r="J69" s="34" t="str">
        <f t="shared" si="12"/>
        <v/>
      </c>
      <c r="K69" s="34" t="str">
        <f t="shared" si="12"/>
        <v/>
      </c>
      <c r="L69" s="202">
        <f>IFERROR(IF($I69="Urban",(VLOOKUP($K69,lookup_urban,L$1,FALSE)*$H69*Coverage!H69),IF($I69="Rural",(VLOOKUP($K69,lookup_rural,L$1,FALSE)*$H69*Coverage!G69),(VLOOKUP($K69,lookup_demography,L$1,FALSE)*$H69*Coverage!G69))),0)</f>
        <v>0</v>
      </c>
      <c r="M69" s="202">
        <f>IFERROR(IF($I69="Urban",(VLOOKUP($K69,lookup_urban,M$1,FALSE)*$H69*Coverage!I69),IF($I69="Rural",(VLOOKUP($K69,lookup_rural,M$1,FALSE)*$H69*Coverage!I69),(VLOOKUP($K69,lookup_demography,M$1,FALSE)*$H69*Coverage!I69))),0)</f>
        <v>0</v>
      </c>
      <c r="N69" s="202">
        <f>IFERROR(IF($I69="Urban",(VLOOKUP($K69,lookup_urban,N$1,FALSE)*$H69*Coverage!J69),IF($I69="Rural",(VLOOKUP($K69,lookup_rural,N$1,FALSE)*$H69*Coverage!J69),(VLOOKUP($K69,lookup_demography,N$1,FALSE)*$H69*Coverage!J69))),0)</f>
        <v>0</v>
      </c>
      <c r="O69" s="202">
        <f>IFERROR(IF($I69="Urban",(VLOOKUP($K69,lookup_urban,O$1,FALSE)*$H69*Coverage!K69),IF($I69="Rural",(VLOOKUP($K69,lookup_rural,O$1,FALSE)*$H69*Coverage!K69),(VLOOKUP($K69,lookup_demography,O$1,FALSE)*$H69*Coverage!K69))),0)</f>
        <v>0</v>
      </c>
      <c r="Q69">
        <f>L69*'3. Intervention Details'!$H69</f>
        <v>0</v>
      </c>
      <c r="R69">
        <f>M69*'3. Intervention Details'!$H69</f>
        <v>0</v>
      </c>
      <c r="S69">
        <f>N69*'3. Intervention Details'!$H69</f>
        <v>0</v>
      </c>
      <c r="T69">
        <f>O69*'3. Intervention Details'!$H69</f>
        <v>0</v>
      </c>
      <c r="AA69" s="56" t="str">
        <f>IF('4. Policy Interactive Screen'!F78&lt;&gt;"",'4. Policy Interactive Screen'!F78,"")</f>
        <v/>
      </c>
      <c r="AB69" s="56" t="str">
        <f>IF('4. Policy Interactive Screen'!I78&lt;&gt;"",'4. Policy Interactive Screen'!I78,"")</f>
        <v/>
      </c>
      <c r="AC69" s="56" t="str">
        <f>IF('4. Policy Interactive Screen'!L78&lt;&gt;"",'4. Policy Interactive Screen'!L78,"")</f>
        <v/>
      </c>
      <c r="AD69" s="56" t="str">
        <f>IF('policy interact graph numbers'!AR78&lt;&gt;"",'policy interact graph numbers'!AR78,"")</f>
        <v/>
      </c>
    </row>
    <row r="70" spans="1:30" ht="15" thickBot="1" x14ac:dyDescent="0.45">
      <c r="A70" s="113">
        <v>65</v>
      </c>
      <c r="B70" s="310" t="str">
        <f>IF(Coverage!$B70="","",Coverage!$B70)</f>
        <v/>
      </c>
      <c r="C70" s="34" t="str">
        <f t="shared" si="12"/>
        <v/>
      </c>
      <c r="D70" s="308" t="str">
        <f t="shared" si="3"/>
        <v/>
      </c>
      <c r="E70" s="308" t="str">
        <f t="shared" si="4"/>
        <v/>
      </c>
      <c r="F70" s="308" t="str">
        <f t="shared" si="5"/>
        <v/>
      </c>
      <c r="G70" s="308" t="str">
        <f t="shared" si="6"/>
        <v/>
      </c>
      <c r="H70" s="34" t="str">
        <f t="shared" si="12"/>
        <v/>
      </c>
      <c r="I70" s="34" t="str">
        <f t="shared" si="11"/>
        <v/>
      </c>
      <c r="J70" s="34" t="str">
        <f t="shared" si="12"/>
        <v/>
      </c>
      <c r="K70" s="34" t="str">
        <f t="shared" si="12"/>
        <v/>
      </c>
      <c r="L70" s="202">
        <f>IFERROR(IF($I70="Urban",(VLOOKUP($K70,lookup_urban,L$1,FALSE)*$H70*Coverage!H70),IF($I70="Rural",(VLOOKUP($K70,lookup_rural,L$1,FALSE)*$H70*Coverage!G70),(VLOOKUP($K70,lookup_demography,L$1,FALSE)*$H70*Coverage!G70))),0)</f>
        <v>0</v>
      </c>
      <c r="M70" s="202">
        <f>IFERROR(IF($I70="Urban",(VLOOKUP($K70,lookup_urban,M$1,FALSE)*$H70*Coverage!I70),IF($I70="Rural",(VLOOKUP($K70,lookup_rural,M$1,FALSE)*$H70*Coverage!I70),(VLOOKUP($K70,lookup_demography,M$1,FALSE)*$H70*Coverage!I70))),0)</f>
        <v>0</v>
      </c>
      <c r="N70" s="202">
        <f>IFERROR(IF($I70="Urban",(VLOOKUP($K70,lookup_urban,N$1,FALSE)*$H70*Coverage!J70),IF($I70="Rural",(VLOOKUP($K70,lookup_rural,N$1,FALSE)*$H70*Coverage!J70),(VLOOKUP($K70,lookup_demography,N$1,FALSE)*$H70*Coverage!J70))),0)</f>
        <v>0</v>
      </c>
      <c r="O70" s="202">
        <f>IFERROR(IF($I70="Urban",(VLOOKUP($K70,lookup_urban,O$1,FALSE)*$H70*Coverage!K70),IF($I70="Rural",(VLOOKUP($K70,lookup_rural,O$1,FALSE)*$H70*Coverage!K70),(VLOOKUP($K70,lookup_demography,O$1,FALSE)*$H70*Coverage!K70))),0)</f>
        <v>0</v>
      </c>
      <c r="Q70">
        <f>L70*'3. Intervention Details'!$H70</f>
        <v>0</v>
      </c>
      <c r="R70">
        <f>M70*'3. Intervention Details'!$H70</f>
        <v>0</v>
      </c>
      <c r="S70">
        <f>N70*'3. Intervention Details'!$H70</f>
        <v>0</v>
      </c>
      <c r="T70">
        <f>O70*'3. Intervention Details'!$H70</f>
        <v>0</v>
      </c>
      <c r="AA70" s="56" t="str">
        <f>IF('4. Policy Interactive Screen'!F79&lt;&gt;"",'4. Policy Interactive Screen'!F79,"")</f>
        <v/>
      </c>
      <c r="AB70" s="56" t="str">
        <f>IF('4. Policy Interactive Screen'!I79&lt;&gt;"",'4. Policy Interactive Screen'!I79,"")</f>
        <v/>
      </c>
      <c r="AC70" s="56" t="str">
        <f>IF('4. Policy Interactive Screen'!L79&lt;&gt;"",'4. Policy Interactive Screen'!L79,"")</f>
        <v/>
      </c>
      <c r="AD70" s="56" t="str">
        <f>IF('policy interact graph numbers'!AR79&lt;&gt;"",'policy interact graph numbers'!AR79,"")</f>
        <v/>
      </c>
    </row>
    <row r="71" spans="1:30" ht="15" thickBot="1" x14ac:dyDescent="0.45">
      <c r="A71" s="113">
        <v>66</v>
      </c>
      <c r="B71" s="310" t="str">
        <f>IF(Coverage!$B71="","",Coverage!$B71)</f>
        <v/>
      </c>
      <c r="C71" s="34" t="str">
        <f t="shared" si="12"/>
        <v/>
      </c>
      <c r="D71" s="308" t="str">
        <f t="shared" ref="D71:D105" si="13">AA71</f>
        <v/>
      </c>
      <c r="E71" s="308" t="str">
        <f t="shared" ref="E71:E105" si="14">AB71</f>
        <v/>
      </c>
      <c r="F71" s="308" t="str">
        <f t="shared" ref="F71:F105" si="15">AC71</f>
        <v/>
      </c>
      <c r="G71" s="308" t="str">
        <f t="shared" ref="G71:G105" si="16">AD71</f>
        <v/>
      </c>
      <c r="H71" s="34" t="str">
        <f t="shared" si="12"/>
        <v/>
      </c>
      <c r="I71" s="34" t="str">
        <f t="shared" si="11"/>
        <v/>
      </c>
      <c r="J71" s="34" t="str">
        <f t="shared" si="12"/>
        <v/>
      </c>
      <c r="K71" s="34" t="str">
        <f t="shared" si="12"/>
        <v/>
      </c>
      <c r="L71" s="202">
        <f>IFERROR(IF($I71="Urban",(VLOOKUP($K71,lookup_urban,L$1,FALSE)*$H71*Coverage!H71),IF($I71="Rural",(VLOOKUP($K71,lookup_rural,L$1,FALSE)*$H71*Coverage!G71),(VLOOKUP($K71,lookup_demography,L$1,FALSE)*$H71*Coverage!G71))),0)</f>
        <v>0</v>
      </c>
      <c r="M71" s="202">
        <f>IFERROR(IF($I71="Urban",(VLOOKUP($K71,lookup_urban,M$1,FALSE)*$H71*Coverage!I71),IF($I71="Rural",(VLOOKUP($K71,lookup_rural,M$1,FALSE)*$H71*Coverage!I71),(VLOOKUP($K71,lookup_demography,M$1,FALSE)*$H71*Coverage!I71))),0)</f>
        <v>0</v>
      </c>
      <c r="N71" s="202">
        <f>IFERROR(IF($I71="Urban",(VLOOKUP($K71,lookup_urban,N$1,FALSE)*$H71*Coverage!J71),IF($I71="Rural",(VLOOKUP($K71,lookup_rural,N$1,FALSE)*$H71*Coverage!J71),(VLOOKUP($K71,lookup_demography,N$1,FALSE)*$H71*Coverage!J71))),0)</f>
        <v>0</v>
      </c>
      <c r="O71" s="202">
        <f>IFERROR(IF($I71="Urban",(VLOOKUP($K71,lookup_urban,O$1,FALSE)*$H71*Coverage!K71),IF($I71="Rural",(VLOOKUP($K71,lookup_rural,O$1,FALSE)*$H71*Coverage!K71),(VLOOKUP($K71,lookup_demography,O$1,FALSE)*$H71*Coverage!K71))),0)</f>
        <v>0</v>
      </c>
      <c r="Q71">
        <f>L71*'3. Intervention Details'!$H71</f>
        <v>0</v>
      </c>
      <c r="R71">
        <f>M71*'3. Intervention Details'!$H71</f>
        <v>0</v>
      </c>
      <c r="S71">
        <f>N71*'3. Intervention Details'!$H71</f>
        <v>0</v>
      </c>
      <c r="T71">
        <f>O71*'3. Intervention Details'!$H71</f>
        <v>0</v>
      </c>
      <c r="AA71" s="56" t="str">
        <f>IF('4. Policy Interactive Screen'!F80&lt;&gt;"",'4. Policy Interactive Screen'!F80,"")</f>
        <v/>
      </c>
      <c r="AB71" s="56" t="str">
        <f>IF('4. Policy Interactive Screen'!I80&lt;&gt;"",'4. Policy Interactive Screen'!I80,"")</f>
        <v/>
      </c>
      <c r="AC71" s="56" t="str">
        <f>IF('4. Policy Interactive Screen'!L80&lt;&gt;"",'4. Policy Interactive Screen'!L80,"")</f>
        <v/>
      </c>
      <c r="AD71" s="56" t="str">
        <f>IF('policy interact graph numbers'!AR80&lt;&gt;"",'policy interact graph numbers'!AR80,"")</f>
        <v/>
      </c>
    </row>
    <row r="72" spans="1:30" ht="15" thickBot="1" x14ac:dyDescent="0.45">
      <c r="A72" s="113">
        <v>67</v>
      </c>
      <c r="B72" s="310" t="str">
        <f>IF(Coverage!$B72="","",Coverage!$B72)</f>
        <v/>
      </c>
      <c r="C72" s="34" t="str">
        <f t="shared" si="12"/>
        <v/>
      </c>
      <c r="D72" s="308" t="str">
        <f t="shared" si="13"/>
        <v/>
      </c>
      <c r="E72" s="308" t="str">
        <f t="shared" si="14"/>
        <v/>
      </c>
      <c r="F72" s="308" t="str">
        <f t="shared" si="15"/>
        <v/>
      </c>
      <c r="G72" s="308" t="str">
        <f t="shared" si="16"/>
        <v/>
      </c>
      <c r="H72" s="34" t="str">
        <f t="shared" si="12"/>
        <v/>
      </c>
      <c r="I72" s="34" t="str">
        <f t="shared" si="12"/>
        <v/>
      </c>
      <c r="J72" s="34" t="str">
        <f t="shared" si="12"/>
        <v/>
      </c>
      <c r="K72" s="34" t="str">
        <f t="shared" si="12"/>
        <v/>
      </c>
      <c r="L72" s="202">
        <f>IFERROR(IF($I72="Urban",(VLOOKUP($K72,lookup_urban,L$1,FALSE)*$H72*Coverage!H72),IF($I72="Rural",(VLOOKUP($K72,lookup_rural,L$1,FALSE)*$H72*Coverage!G72),(VLOOKUP($K72,lookup_demography,L$1,FALSE)*$H72*Coverage!G72))),0)</f>
        <v>0</v>
      </c>
      <c r="M72" s="202">
        <f>IFERROR(IF($I72="Urban",(VLOOKUP($K72,lookup_urban,M$1,FALSE)*$H72*Coverage!I72),IF($I72="Rural",(VLOOKUP($K72,lookup_rural,M$1,FALSE)*$H72*Coverage!I72),(VLOOKUP($K72,lookup_demography,M$1,FALSE)*$H72*Coverage!I72))),0)</f>
        <v>0</v>
      </c>
      <c r="N72" s="202">
        <f>IFERROR(IF($I72="Urban",(VLOOKUP($K72,lookup_urban,N$1,FALSE)*$H72*Coverage!J72),IF($I72="Rural",(VLOOKUP($K72,lookup_rural,N$1,FALSE)*$H72*Coverage!J72),(VLOOKUP($K72,lookup_demography,N$1,FALSE)*$H72*Coverage!J72))),0)</f>
        <v>0</v>
      </c>
      <c r="O72" s="202">
        <f>IFERROR(IF($I72="Urban",(VLOOKUP($K72,lookup_urban,O$1,FALSE)*$H72*Coverage!K72),IF($I72="Rural",(VLOOKUP($K72,lookup_rural,O$1,FALSE)*$H72*Coverage!K72),(VLOOKUP($K72,lookup_demography,O$1,FALSE)*$H72*Coverage!K72))),0)</f>
        <v>0</v>
      </c>
      <c r="Q72">
        <f>L72*'3. Intervention Details'!$H72</f>
        <v>0</v>
      </c>
      <c r="R72">
        <f>M72*'3. Intervention Details'!$H72</f>
        <v>0</v>
      </c>
      <c r="S72">
        <f>N72*'3. Intervention Details'!$H72</f>
        <v>0</v>
      </c>
      <c r="T72">
        <f>O72*'3. Intervention Details'!$H72</f>
        <v>0</v>
      </c>
      <c r="AA72" s="56" t="str">
        <f>IF('4. Policy Interactive Screen'!F81&lt;&gt;"",'4. Policy Interactive Screen'!F81,"")</f>
        <v/>
      </c>
      <c r="AB72" s="56" t="str">
        <f>IF('4. Policy Interactive Screen'!I81&lt;&gt;"",'4. Policy Interactive Screen'!I81,"")</f>
        <v/>
      </c>
      <c r="AC72" s="56" t="str">
        <f>IF('4. Policy Interactive Screen'!L81&lt;&gt;"",'4. Policy Interactive Screen'!L81,"")</f>
        <v/>
      </c>
      <c r="AD72" s="56" t="str">
        <f>IF('policy interact graph numbers'!AR81&lt;&gt;"",'policy interact graph numbers'!AR81,"")</f>
        <v/>
      </c>
    </row>
    <row r="73" spans="1:30" ht="15" thickBot="1" x14ac:dyDescent="0.45">
      <c r="A73" s="113">
        <v>68</v>
      </c>
      <c r="B73" s="310" t="str">
        <f>IF(Coverage!$B73="","",Coverage!$B73)</f>
        <v/>
      </c>
      <c r="C73" s="34" t="str">
        <f t="shared" si="12"/>
        <v/>
      </c>
      <c r="D73" s="308" t="str">
        <f t="shared" si="13"/>
        <v/>
      </c>
      <c r="E73" s="308" t="str">
        <f t="shared" si="14"/>
        <v/>
      </c>
      <c r="F73" s="308" t="str">
        <f t="shared" si="15"/>
        <v/>
      </c>
      <c r="G73" s="308" t="str">
        <f t="shared" si="16"/>
        <v/>
      </c>
      <c r="H73" s="34" t="str">
        <f t="shared" si="12"/>
        <v/>
      </c>
      <c r="I73" s="34" t="str">
        <f t="shared" si="12"/>
        <v/>
      </c>
      <c r="J73" s="34" t="str">
        <f t="shared" si="12"/>
        <v/>
      </c>
      <c r="K73" s="34" t="str">
        <f t="shared" si="12"/>
        <v/>
      </c>
      <c r="L73" s="202">
        <f>IFERROR(IF($I73="Urban",(VLOOKUP($K73,lookup_urban,L$1,FALSE)*$H73*Coverage!H73),IF($I73="Rural",(VLOOKUP($K73,lookup_rural,L$1,FALSE)*$H73*Coverage!G73),(VLOOKUP($K73,lookup_demography,L$1,FALSE)*$H73*Coverage!G73))),0)</f>
        <v>0</v>
      </c>
      <c r="M73" s="202">
        <f>IFERROR(IF($I73="Urban",(VLOOKUP($K73,lookup_urban,M$1,FALSE)*$H73*Coverage!I73),IF($I73="Rural",(VLOOKUP($K73,lookup_rural,M$1,FALSE)*$H73*Coverage!I73),(VLOOKUP($K73,lookup_demography,M$1,FALSE)*$H73*Coverage!I73))),0)</f>
        <v>0</v>
      </c>
      <c r="N73" s="202">
        <f>IFERROR(IF($I73="Urban",(VLOOKUP($K73,lookup_urban,N$1,FALSE)*$H73*Coverage!J73),IF($I73="Rural",(VLOOKUP($K73,lookup_rural,N$1,FALSE)*$H73*Coverage!J73),(VLOOKUP($K73,lookup_demography,N$1,FALSE)*$H73*Coverage!J73))),0)</f>
        <v>0</v>
      </c>
      <c r="O73" s="202">
        <f>IFERROR(IF($I73="Urban",(VLOOKUP($K73,lookup_urban,O$1,FALSE)*$H73*Coverage!K73),IF($I73="Rural",(VLOOKUP($K73,lookup_rural,O$1,FALSE)*$H73*Coverage!K73),(VLOOKUP($K73,lookup_demography,O$1,FALSE)*$H73*Coverage!K73))),0)</f>
        <v>0</v>
      </c>
      <c r="Q73">
        <f>L73*'3. Intervention Details'!$H73</f>
        <v>0</v>
      </c>
      <c r="R73">
        <f>M73*'3. Intervention Details'!$H73</f>
        <v>0</v>
      </c>
      <c r="S73">
        <f>N73*'3. Intervention Details'!$H73</f>
        <v>0</v>
      </c>
      <c r="T73">
        <f>O73*'3. Intervention Details'!$H73</f>
        <v>0</v>
      </c>
      <c r="AA73" s="56" t="str">
        <f>IF('4. Policy Interactive Screen'!F82&lt;&gt;"",'4. Policy Interactive Screen'!F82,"")</f>
        <v/>
      </c>
      <c r="AB73" s="56" t="str">
        <f>IF('4. Policy Interactive Screen'!I82&lt;&gt;"",'4. Policy Interactive Screen'!I82,"")</f>
        <v/>
      </c>
      <c r="AC73" s="56" t="str">
        <f>IF('4. Policy Interactive Screen'!L82&lt;&gt;"",'4. Policy Interactive Screen'!L82,"")</f>
        <v/>
      </c>
      <c r="AD73" s="56" t="str">
        <f>IF('policy interact graph numbers'!AR82&lt;&gt;"",'policy interact graph numbers'!AR82,"")</f>
        <v/>
      </c>
    </row>
    <row r="74" spans="1:30" ht="15" thickBot="1" x14ac:dyDescent="0.45">
      <c r="A74" s="113">
        <v>69</v>
      </c>
      <c r="B74" s="310" t="str">
        <f>IF(Coverage!$B74="","",Coverage!$B74)</f>
        <v/>
      </c>
      <c r="C74" s="34" t="str">
        <f t="shared" si="12"/>
        <v/>
      </c>
      <c r="D74" s="308" t="str">
        <f t="shared" si="13"/>
        <v/>
      </c>
      <c r="E74" s="308" t="str">
        <f t="shared" si="14"/>
        <v/>
      </c>
      <c r="F74" s="308" t="str">
        <f t="shared" si="15"/>
        <v/>
      </c>
      <c r="G74" s="308" t="str">
        <f t="shared" si="16"/>
        <v/>
      </c>
      <c r="H74" s="34" t="str">
        <f t="shared" si="12"/>
        <v/>
      </c>
      <c r="I74" s="34" t="str">
        <f t="shared" si="12"/>
        <v/>
      </c>
      <c r="J74" s="34" t="str">
        <f t="shared" si="12"/>
        <v/>
      </c>
      <c r="K74" s="34" t="str">
        <f t="shared" si="12"/>
        <v/>
      </c>
      <c r="L74" s="202">
        <f>IFERROR(IF($I74="Urban",(VLOOKUP($K74,lookup_urban,L$1,FALSE)*$H74*Coverage!H74),IF($I74="Rural",(VLOOKUP($K74,lookup_rural,L$1,FALSE)*$H74*Coverage!G74),(VLOOKUP($K74,lookup_demography,L$1,FALSE)*$H74*Coverage!G74))),0)</f>
        <v>0</v>
      </c>
      <c r="M74" s="202">
        <f>IFERROR(IF($I74="Urban",(VLOOKUP($K74,lookup_urban,M$1,FALSE)*$H74*Coverage!I74),IF($I74="Rural",(VLOOKUP($K74,lookup_rural,M$1,FALSE)*$H74*Coverage!I74),(VLOOKUP($K74,lookup_demography,M$1,FALSE)*$H74*Coverage!I74))),0)</f>
        <v>0</v>
      </c>
      <c r="N74" s="202">
        <f>IFERROR(IF($I74="Urban",(VLOOKUP($K74,lookup_urban,N$1,FALSE)*$H74*Coverage!J74),IF($I74="Rural",(VLOOKUP($K74,lookup_rural,N$1,FALSE)*$H74*Coverage!J74),(VLOOKUP($K74,lookup_demography,N$1,FALSE)*$H74*Coverage!J74))),0)</f>
        <v>0</v>
      </c>
      <c r="O74" s="202">
        <f>IFERROR(IF($I74="Urban",(VLOOKUP($K74,lookup_urban,O$1,FALSE)*$H74*Coverage!K74),IF($I74="Rural",(VLOOKUP($K74,lookup_rural,O$1,FALSE)*$H74*Coverage!K74),(VLOOKUP($K74,lookup_demography,O$1,FALSE)*$H74*Coverage!K74))),0)</f>
        <v>0</v>
      </c>
      <c r="Q74">
        <f>L74*'3. Intervention Details'!$H74</f>
        <v>0</v>
      </c>
      <c r="R74">
        <f>M74*'3. Intervention Details'!$H74</f>
        <v>0</v>
      </c>
      <c r="S74">
        <f>N74*'3. Intervention Details'!$H74</f>
        <v>0</v>
      </c>
      <c r="T74">
        <f>O74*'3. Intervention Details'!$H74</f>
        <v>0</v>
      </c>
      <c r="AA74" s="56" t="str">
        <f>IF('4. Policy Interactive Screen'!F83&lt;&gt;"",'4. Policy Interactive Screen'!F83,"")</f>
        <v/>
      </c>
      <c r="AB74" s="56" t="str">
        <f>IF('4. Policy Interactive Screen'!I83&lt;&gt;"",'4. Policy Interactive Screen'!I83,"")</f>
        <v/>
      </c>
      <c r="AC74" s="56" t="str">
        <f>IF('4. Policy Interactive Screen'!L83&lt;&gt;"",'4. Policy Interactive Screen'!L83,"")</f>
        <v/>
      </c>
      <c r="AD74" s="56" t="str">
        <f>IF('policy interact graph numbers'!AR83&lt;&gt;"",'policy interact graph numbers'!AR83,"")</f>
        <v/>
      </c>
    </row>
    <row r="75" spans="1:30" ht="15" thickBot="1" x14ac:dyDescent="0.45">
      <c r="A75" s="113">
        <v>70</v>
      </c>
      <c r="B75" s="310" t="str">
        <f>IF(Coverage!$B75="","",Coverage!$B75)</f>
        <v/>
      </c>
      <c r="C75" s="34" t="str">
        <f t="shared" si="12"/>
        <v/>
      </c>
      <c r="D75" s="308" t="str">
        <f t="shared" si="13"/>
        <v/>
      </c>
      <c r="E75" s="308" t="str">
        <f t="shared" si="14"/>
        <v/>
      </c>
      <c r="F75" s="308" t="str">
        <f t="shared" si="15"/>
        <v/>
      </c>
      <c r="G75" s="308" t="str">
        <f t="shared" si="16"/>
        <v/>
      </c>
      <c r="H75" s="34" t="str">
        <f t="shared" si="12"/>
        <v/>
      </c>
      <c r="I75" s="34" t="str">
        <f t="shared" si="12"/>
        <v/>
      </c>
      <c r="J75" s="34" t="str">
        <f t="shared" si="12"/>
        <v/>
      </c>
      <c r="K75" s="34" t="str">
        <f t="shared" si="12"/>
        <v/>
      </c>
      <c r="L75" s="202">
        <f>IFERROR(IF($I75="Urban",(VLOOKUP($K75,lookup_urban,L$1,FALSE)*$H75*Coverage!H75),IF($I75="Rural",(VLOOKUP($K75,lookup_rural,L$1,FALSE)*$H75*Coverage!G75),(VLOOKUP($K75,lookup_demography,L$1,FALSE)*$H75*Coverage!G75))),0)</f>
        <v>0</v>
      </c>
      <c r="M75" s="202">
        <f>IFERROR(IF($I75="Urban",(VLOOKUP($K75,lookup_urban,M$1,FALSE)*$H75*Coverage!I75),IF($I75="Rural",(VLOOKUP($K75,lookup_rural,M$1,FALSE)*$H75*Coverage!I75),(VLOOKUP($K75,lookup_demography,M$1,FALSE)*$H75*Coverage!I75))),0)</f>
        <v>0</v>
      </c>
      <c r="N75" s="202">
        <f>IFERROR(IF($I75="Urban",(VLOOKUP($K75,lookup_urban,N$1,FALSE)*$H75*Coverage!J75),IF($I75="Rural",(VLOOKUP($K75,lookup_rural,N$1,FALSE)*$H75*Coverage!J75),(VLOOKUP($K75,lookup_demography,N$1,FALSE)*$H75*Coverage!J75))),0)</f>
        <v>0</v>
      </c>
      <c r="O75" s="202">
        <f>IFERROR(IF($I75="Urban",(VLOOKUP($K75,lookup_urban,O$1,FALSE)*$H75*Coverage!K75),IF($I75="Rural",(VLOOKUP($K75,lookup_rural,O$1,FALSE)*$H75*Coverage!K75),(VLOOKUP($K75,lookup_demography,O$1,FALSE)*$H75*Coverage!K75))),0)</f>
        <v>0</v>
      </c>
      <c r="Q75">
        <f>L75*'3. Intervention Details'!$H75</f>
        <v>0</v>
      </c>
      <c r="R75">
        <f>M75*'3. Intervention Details'!$H75</f>
        <v>0</v>
      </c>
      <c r="S75">
        <f>N75*'3. Intervention Details'!$H75</f>
        <v>0</v>
      </c>
      <c r="T75">
        <f>O75*'3. Intervention Details'!$H75</f>
        <v>0</v>
      </c>
      <c r="AA75" s="56" t="str">
        <f>IF('4. Policy Interactive Screen'!F84&lt;&gt;"",'4. Policy Interactive Screen'!F84,"")</f>
        <v/>
      </c>
      <c r="AB75" s="56" t="str">
        <f>IF('4. Policy Interactive Screen'!I84&lt;&gt;"",'4. Policy Interactive Screen'!I84,"")</f>
        <v/>
      </c>
      <c r="AC75" s="56" t="str">
        <f>IF('4. Policy Interactive Screen'!L84&lt;&gt;"",'4. Policy Interactive Screen'!L84,"")</f>
        <v/>
      </c>
      <c r="AD75" s="56" t="str">
        <f>IF('policy interact graph numbers'!AR84&lt;&gt;"",'policy interact graph numbers'!AR84,"")</f>
        <v/>
      </c>
    </row>
    <row r="76" spans="1:30" ht="15" thickBot="1" x14ac:dyDescent="0.45">
      <c r="A76" s="113">
        <v>71</v>
      </c>
      <c r="B76" s="310" t="str">
        <f>IF(Coverage!$B76="","",Coverage!$B76)</f>
        <v/>
      </c>
      <c r="C76" s="34" t="str">
        <f t="shared" ref="C76:K91" si="17">IFERROR((VLOOKUP($B76,lookup_masterlist,C$1,FALSE)),"")</f>
        <v/>
      </c>
      <c r="D76" s="308" t="str">
        <f t="shared" si="13"/>
        <v/>
      </c>
      <c r="E76" s="308" t="str">
        <f t="shared" si="14"/>
        <v/>
      </c>
      <c r="F76" s="308" t="str">
        <f t="shared" si="15"/>
        <v/>
      </c>
      <c r="G76" s="308" t="str">
        <f t="shared" si="16"/>
        <v/>
      </c>
      <c r="H76" s="34" t="str">
        <f t="shared" si="17"/>
        <v/>
      </c>
      <c r="I76" s="34" t="str">
        <f t="shared" si="12"/>
        <v/>
      </c>
      <c r="J76" s="34" t="str">
        <f t="shared" si="17"/>
        <v/>
      </c>
      <c r="K76" s="34" t="str">
        <f t="shared" si="17"/>
        <v/>
      </c>
      <c r="L76" s="202">
        <f>IFERROR(IF($I76="Urban",(VLOOKUP($K76,lookup_urban,L$1,FALSE)*$H76*Coverage!H76),IF($I76="Rural",(VLOOKUP($K76,lookup_rural,L$1,FALSE)*$H76*Coverage!G76),(VLOOKUP($K76,lookup_demography,L$1,FALSE)*$H76*Coverage!G76))),0)</f>
        <v>0</v>
      </c>
      <c r="M76" s="202">
        <f>IFERROR(IF($I76="Urban",(VLOOKUP($K76,lookup_urban,M$1,FALSE)*$H76*Coverage!I76),IF($I76="Rural",(VLOOKUP($K76,lookup_rural,M$1,FALSE)*$H76*Coverage!I76),(VLOOKUP($K76,lookup_demography,M$1,FALSE)*$H76*Coverage!I76))),0)</f>
        <v>0</v>
      </c>
      <c r="N76" s="202">
        <f>IFERROR(IF($I76="Urban",(VLOOKUP($K76,lookup_urban,N$1,FALSE)*$H76*Coverage!J76),IF($I76="Rural",(VLOOKUP($K76,lookup_rural,N$1,FALSE)*$H76*Coverage!J76),(VLOOKUP($K76,lookup_demography,N$1,FALSE)*$H76*Coverage!J76))),0)</f>
        <v>0</v>
      </c>
      <c r="O76" s="202">
        <f>IFERROR(IF($I76="Urban",(VLOOKUP($K76,lookup_urban,O$1,FALSE)*$H76*Coverage!K76),IF($I76="Rural",(VLOOKUP($K76,lookup_rural,O$1,FALSE)*$H76*Coverage!K76),(VLOOKUP($K76,lookup_demography,O$1,FALSE)*$H76*Coverage!K76))),0)</f>
        <v>0</v>
      </c>
      <c r="Q76">
        <f>L76*'3. Intervention Details'!$H76</f>
        <v>0</v>
      </c>
      <c r="R76">
        <f>M76*'3. Intervention Details'!$H76</f>
        <v>0</v>
      </c>
      <c r="S76">
        <f>N76*'3. Intervention Details'!$H76</f>
        <v>0</v>
      </c>
      <c r="T76">
        <f>O76*'3. Intervention Details'!$H76</f>
        <v>0</v>
      </c>
      <c r="AA76" s="56" t="str">
        <f>IF('4. Policy Interactive Screen'!F85&lt;&gt;"",'4. Policy Interactive Screen'!F85,"")</f>
        <v/>
      </c>
      <c r="AB76" s="56" t="str">
        <f>IF('4. Policy Interactive Screen'!I85&lt;&gt;"",'4. Policy Interactive Screen'!I85,"")</f>
        <v/>
      </c>
      <c r="AC76" s="56" t="str">
        <f>IF('4. Policy Interactive Screen'!L85&lt;&gt;"",'4. Policy Interactive Screen'!L85,"")</f>
        <v/>
      </c>
      <c r="AD76" s="56" t="str">
        <f>IF('policy interact graph numbers'!AR85&lt;&gt;"",'policy interact graph numbers'!AR85,"")</f>
        <v/>
      </c>
    </row>
    <row r="77" spans="1:30" ht="15" thickBot="1" x14ac:dyDescent="0.45">
      <c r="A77" s="113">
        <v>72</v>
      </c>
      <c r="B77" s="310" t="str">
        <f>IF(Coverage!$B77="","",Coverage!$B77)</f>
        <v/>
      </c>
      <c r="C77" s="34" t="str">
        <f t="shared" si="17"/>
        <v/>
      </c>
      <c r="D77" s="308" t="str">
        <f t="shared" si="13"/>
        <v/>
      </c>
      <c r="E77" s="308" t="str">
        <f t="shared" si="14"/>
        <v/>
      </c>
      <c r="F77" s="308" t="str">
        <f t="shared" si="15"/>
        <v/>
      </c>
      <c r="G77" s="308" t="str">
        <f t="shared" si="16"/>
        <v/>
      </c>
      <c r="H77" s="34" t="str">
        <f t="shared" si="17"/>
        <v/>
      </c>
      <c r="I77" s="34" t="str">
        <f t="shared" si="12"/>
        <v/>
      </c>
      <c r="J77" s="34" t="str">
        <f t="shared" si="17"/>
        <v/>
      </c>
      <c r="K77" s="34" t="str">
        <f t="shared" si="17"/>
        <v/>
      </c>
      <c r="L77" s="202">
        <f>IFERROR(IF($I77="Urban",(VLOOKUP($K77,lookup_urban,L$1,FALSE)*$H77*Coverage!H77),IF($I77="Rural",(VLOOKUP($K77,lookup_rural,L$1,FALSE)*$H77*Coverage!G77),(VLOOKUP($K77,lookup_demography,L$1,FALSE)*$H77*Coverage!G77))),0)</f>
        <v>0</v>
      </c>
      <c r="M77" s="202">
        <f>IFERROR(IF($I77="Urban",(VLOOKUP($K77,lookup_urban,M$1,FALSE)*$H77*Coverage!I77),IF($I77="Rural",(VLOOKUP($K77,lookup_rural,M$1,FALSE)*$H77*Coverage!I77),(VLOOKUP($K77,lookup_demography,M$1,FALSE)*$H77*Coverage!I77))),0)</f>
        <v>0</v>
      </c>
      <c r="N77" s="202">
        <f>IFERROR(IF($I77="Urban",(VLOOKUP($K77,lookup_urban,N$1,FALSE)*$H77*Coverage!J77),IF($I77="Rural",(VLOOKUP($K77,lookup_rural,N$1,FALSE)*$H77*Coverage!J77),(VLOOKUP($K77,lookup_demography,N$1,FALSE)*$H77*Coverage!J77))),0)</f>
        <v>0</v>
      </c>
      <c r="O77" s="202">
        <f>IFERROR(IF($I77="Urban",(VLOOKUP($K77,lookup_urban,O$1,FALSE)*$H77*Coverage!K77),IF($I77="Rural",(VLOOKUP($K77,lookup_rural,O$1,FALSE)*$H77*Coverage!K77),(VLOOKUP($K77,lookup_demography,O$1,FALSE)*$H77*Coverage!K77))),0)</f>
        <v>0</v>
      </c>
      <c r="Q77">
        <f>L77*'3. Intervention Details'!$H77</f>
        <v>0</v>
      </c>
      <c r="R77">
        <f>M77*'3. Intervention Details'!$H77</f>
        <v>0</v>
      </c>
      <c r="S77">
        <f>N77*'3. Intervention Details'!$H77</f>
        <v>0</v>
      </c>
      <c r="T77">
        <f>O77*'3. Intervention Details'!$H77</f>
        <v>0</v>
      </c>
      <c r="AA77" s="56" t="str">
        <f>IF('4. Policy Interactive Screen'!F86&lt;&gt;"",'4. Policy Interactive Screen'!F86,"")</f>
        <v/>
      </c>
      <c r="AB77" s="56" t="str">
        <f>IF('4. Policy Interactive Screen'!I86&lt;&gt;"",'4. Policy Interactive Screen'!I86,"")</f>
        <v/>
      </c>
      <c r="AC77" s="56" t="str">
        <f>IF('4. Policy Interactive Screen'!L86&lt;&gt;"",'4. Policy Interactive Screen'!L86,"")</f>
        <v/>
      </c>
      <c r="AD77" s="56" t="str">
        <f>IF('policy interact graph numbers'!AR86&lt;&gt;"",'policy interact graph numbers'!AR86,"")</f>
        <v/>
      </c>
    </row>
    <row r="78" spans="1:30" ht="15" thickBot="1" x14ac:dyDescent="0.45">
      <c r="A78" s="113">
        <v>73</v>
      </c>
      <c r="B78" s="310" t="str">
        <f>IF(Coverage!$B78="","",Coverage!$B78)</f>
        <v/>
      </c>
      <c r="C78" s="34" t="str">
        <f t="shared" si="17"/>
        <v/>
      </c>
      <c r="D78" s="308" t="str">
        <f t="shared" si="13"/>
        <v/>
      </c>
      <c r="E78" s="308" t="str">
        <f t="shared" si="14"/>
        <v/>
      </c>
      <c r="F78" s="308" t="str">
        <f t="shared" si="15"/>
        <v/>
      </c>
      <c r="G78" s="308" t="str">
        <f t="shared" si="16"/>
        <v/>
      </c>
      <c r="H78" s="34" t="str">
        <f t="shared" si="17"/>
        <v/>
      </c>
      <c r="I78" s="34" t="str">
        <f t="shared" si="12"/>
        <v/>
      </c>
      <c r="J78" s="34" t="str">
        <f t="shared" si="17"/>
        <v/>
      </c>
      <c r="K78" s="34" t="str">
        <f t="shared" si="17"/>
        <v/>
      </c>
      <c r="L78" s="202">
        <f>IFERROR(IF($I78="Urban",(VLOOKUP($K78,lookup_urban,L$1,FALSE)*$H78*Coverage!H78),IF($I78="Rural",(VLOOKUP($K78,lookup_rural,L$1,FALSE)*$H78*Coverage!G78),(VLOOKUP($K78,lookup_demography,L$1,FALSE)*$H78*Coverage!G78))),0)</f>
        <v>0</v>
      </c>
      <c r="M78" s="202">
        <f>IFERROR(IF($I78="Urban",(VLOOKUP($K78,lookup_urban,M$1,FALSE)*$H78*Coverage!I78),IF($I78="Rural",(VLOOKUP($K78,lookup_rural,M$1,FALSE)*$H78*Coverage!I78),(VLOOKUP($K78,lookup_demography,M$1,FALSE)*$H78*Coverage!I78))),0)</f>
        <v>0</v>
      </c>
      <c r="N78" s="202">
        <f>IFERROR(IF($I78="Urban",(VLOOKUP($K78,lookup_urban,N$1,FALSE)*$H78*Coverage!J78),IF($I78="Rural",(VLOOKUP($K78,lookup_rural,N$1,FALSE)*$H78*Coverage!J78),(VLOOKUP($K78,lookup_demography,N$1,FALSE)*$H78*Coverage!J78))),0)</f>
        <v>0</v>
      </c>
      <c r="O78" s="202">
        <f>IFERROR(IF($I78="Urban",(VLOOKUP($K78,lookup_urban,O$1,FALSE)*$H78*Coverage!K78),IF($I78="Rural",(VLOOKUP($K78,lookup_rural,O$1,FALSE)*$H78*Coverage!K78),(VLOOKUP($K78,lookup_demography,O$1,FALSE)*$H78*Coverage!K78))),0)</f>
        <v>0</v>
      </c>
      <c r="Q78">
        <f>L78*'3. Intervention Details'!$H78</f>
        <v>0</v>
      </c>
      <c r="R78">
        <f>M78*'3. Intervention Details'!$H78</f>
        <v>0</v>
      </c>
      <c r="S78">
        <f>N78*'3. Intervention Details'!$H78</f>
        <v>0</v>
      </c>
      <c r="T78">
        <f>O78*'3. Intervention Details'!$H78</f>
        <v>0</v>
      </c>
      <c r="AA78" s="56" t="str">
        <f>IF('4. Policy Interactive Screen'!F87&lt;&gt;"",'4. Policy Interactive Screen'!F87,"")</f>
        <v/>
      </c>
      <c r="AB78" s="56" t="str">
        <f>IF('4. Policy Interactive Screen'!I87&lt;&gt;"",'4. Policy Interactive Screen'!I87,"")</f>
        <v/>
      </c>
      <c r="AC78" s="56" t="str">
        <f>IF('4. Policy Interactive Screen'!L87&lt;&gt;"",'4. Policy Interactive Screen'!L87,"")</f>
        <v/>
      </c>
      <c r="AD78" s="56" t="str">
        <f>IF('policy interact graph numbers'!AR87&lt;&gt;"",'policy interact graph numbers'!AR87,"")</f>
        <v/>
      </c>
    </row>
    <row r="79" spans="1:30" ht="15" thickBot="1" x14ac:dyDescent="0.45">
      <c r="A79" s="113">
        <v>74</v>
      </c>
      <c r="B79" s="310" t="str">
        <f>IF(Coverage!$B79="","",Coverage!$B79)</f>
        <v/>
      </c>
      <c r="C79" s="34" t="str">
        <f t="shared" si="17"/>
        <v/>
      </c>
      <c r="D79" s="308" t="str">
        <f t="shared" si="13"/>
        <v/>
      </c>
      <c r="E79" s="308" t="str">
        <f t="shared" si="14"/>
        <v/>
      </c>
      <c r="F79" s="308" t="str">
        <f t="shared" si="15"/>
        <v/>
      </c>
      <c r="G79" s="308" t="str">
        <f t="shared" si="16"/>
        <v/>
      </c>
      <c r="H79" s="34" t="str">
        <f t="shared" si="17"/>
        <v/>
      </c>
      <c r="I79" s="34" t="str">
        <f t="shared" si="12"/>
        <v/>
      </c>
      <c r="J79" s="34" t="str">
        <f t="shared" si="17"/>
        <v/>
      </c>
      <c r="K79" s="34" t="str">
        <f t="shared" si="17"/>
        <v/>
      </c>
      <c r="L79" s="202">
        <f>IFERROR(IF($I79="Urban",(VLOOKUP($K79,lookup_urban,L$1,FALSE)*$H79*Coverage!H79),IF($I79="Rural",(VLOOKUP($K79,lookup_rural,L$1,FALSE)*$H79*Coverage!G79),(VLOOKUP($K79,lookup_demography,L$1,FALSE)*$H79*Coverage!G79))),0)</f>
        <v>0</v>
      </c>
      <c r="M79" s="202">
        <f>IFERROR(IF($I79="Urban",(VLOOKUP($K79,lookup_urban,M$1,FALSE)*$H79*Coverage!I79),IF($I79="Rural",(VLOOKUP($K79,lookup_rural,M$1,FALSE)*$H79*Coverage!I79),(VLOOKUP($K79,lookup_demography,M$1,FALSE)*$H79*Coverage!I79))),0)</f>
        <v>0</v>
      </c>
      <c r="N79" s="202">
        <f>IFERROR(IF($I79="Urban",(VLOOKUP($K79,lookup_urban,N$1,FALSE)*$H79*Coverage!J79),IF($I79="Rural",(VLOOKUP($K79,lookup_rural,N$1,FALSE)*$H79*Coverage!J79),(VLOOKUP($K79,lookup_demography,N$1,FALSE)*$H79*Coverage!J79))),0)</f>
        <v>0</v>
      </c>
      <c r="O79" s="202">
        <f>IFERROR(IF($I79="Urban",(VLOOKUP($K79,lookup_urban,O$1,FALSE)*$H79*Coverage!K79),IF($I79="Rural",(VLOOKUP($K79,lookup_rural,O$1,FALSE)*$H79*Coverage!K79),(VLOOKUP($K79,lookup_demography,O$1,FALSE)*$H79*Coverage!K79))),0)</f>
        <v>0</v>
      </c>
      <c r="Q79">
        <f>L79*'3. Intervention Details'!$H79</f>
        <v>0</v>
      </c>
      <c r="R79">
        <f>M79*'3. Intervention Details'!$H79</f>
        <v>0</v>
      </c>
      <c r="S79">
        <f>N79*'3. Intervention Details'!$H79</f>
        <v>0</v>
      </c>
      <c r="T79">
        <f>O79*'3. Intervention Details'!$H79</f>
        <v>0</v>
      </c>
      <c r="AA79" s="56" t="str">
        <f>IF('4. Policy Interactive Screen'!F88&lt;&gt;"",'4. Policy Interactive Screen'!F88,"")</f>
        <v/>
      </c>
      <c r="AB79" s="56" t="str">
        <f>IF('4. Policy Interactive Screen'!I88&lt;&gt;"",'4. Policy Interactive Screen'!I88,"")</f>
        <v/>
      </c>
      <c r="AC79" s="56" t="str">
        <f>IF('4. Policy Interactive Screen'!L88&lt;&gt;"",'4. Policy Interactive Screen'!L88,"")</f>
        <v/>
      </c>
      <c r="AD79" s="56" t="str">
        <f>IF('policy interact graph numbers'!AR88&lt;&gt;"",'policy interact graph numbers'!AR88,"")</f>
        <v/>
      </c>
    </row>
    <row r="80" spans="1:30" ht="15" thickBot="1" x14ac:dyDescent="0.45">
      <c r="A80" s="113">
        <v>75</v>
      </c>
      <c r="B80" s="310" t="str">
        <f>IF(Coverage!$B80="","",Coverage!$B80)</f>
        <v/>
      </c>
      <c r="C80" s="34" t="str">
        <f t="shared" si="17"/>
        <v/>
      </c>
      <c r="D80" s="308" t="str">
        <f t="shared" si="13"/>
        <v/>
      </c>
      <c r="E80" s="308" t="str">
        <f t="shared" si="14"/>
        <v/>
      </c>
      <c r="F80" s="308" t="str">
        <f t="shared" si="15"/>
        <v/>
      </c>
      <c r="G80" s="308" t="str">
        <f t="shared" si="16"/>
        <v/>
      </c>
      <c r="H80" s="34" t="str">
        <f t="shared" si="17"/>
        <v/>
      </c>
      <c r="I80" s="34" t="str">
        <f t="shared" si="12"/>
        <v/>
      </c>
      <c r="J80" s="34" t="str">
        <f t="shared" si="17"/>
        <v/>
      </c>
      <c r="K80" s="34" t="str">
        <f t="shared" si="17"/>
        <v/>
      </c>
      <c r="L80" s="202">
        <f>IFERROR(IF($I80="Urban",(VLOOKUP($K80,lookup_urban,L$1,FALSE)*$H80*Coverage!H80),IF($I80="Rural",(VLOOKUP($K80,lookup_rural,L$1,FALSE)*$H80*Coverage!G80),(VLOOKUP($K80,lookup_demography,L$1,FALSE)*$H80*Coverage!G80))),0)</f>
        <v>0</v>
      </c>
      <c r="M80" s="202">
        <f>IFERROR(IF($I80="Urban",(VLOOKUP($K80,lookup_urban,M$1,FALSE)*$H80*Coverage!I80),IF($I80="Rural",(VLOOKUP($K80,lookup_rural,M$1,FALSE)*$H80*Coverage!I80),(VLOOKUP($K80,lookup_demography,M$1,FALSE)*$H80*Coverage!I80))),0)</f>
        <v>0</v>
      </c>
      <c r="N80" s="202">
        <f>IFERROR(IF($I80="Urban",(VLOOKUP($K80,lookup_urban,N$1,FALSE)*$H80*Coverage!J80),IF($I80="Rural",(VLOOKUP($K80,lookup_rural,N$1,FALSE)*$H80*Coverage!J80),(VLOOKUP($K80,lookup_demography,N$1,FALSE)*$H80*Coverage!J80))),0)</f>
        <v>0</v>
      </c>
      <c r="O80" s="202">
        <f>IFERROR(IF($I80="Urban",(VLOOKUP($K80,lookup_urban,O$1,FALSE)*$H80*Coverage!K80),IF($I80="Rural",(VLOOKUP($K80,lookup_rural,O$1,FALSE)*$H80*Coverage!K80),(VLOOKUP($K80,lookup_demography,O$1,FALSE)*$H80*Coverage!K80))),0)</f>
        <v>0</v>
      </c>
      <c r="Q80">
        <f>L80*'3. Intervention Details'!$H80</f>
        <v>0</v>
      </c>
      <c r="R80">
        <f>M80*'3. Intervention Details'!$H80</f>
        <v>0</v>
      </c>
      <c r="S80">
        <f>N80*'3. Intervention Details'!$H80</f>
        <v>0</v>
      </c>
      <c r="T80">
        <f>O80*'3. Intervention Details'!$H80</f>
        <v>0</v>
      </c>
      <c r="AA80" s="56" t="str">
        <f>IF('4. Policy Interactive Screen'!F89&lt;&gt;"",'4. Policy Interactive Screen'!F89,"")</f>
        <v/>
      </c>
      <c r="AB80" s="56" t="str">
        <f>IF('4. Policy Interactive Screen'!I89&lt;&gt;"",'4. Policy Interactive Screen'!I89,"")</f>
        <v/>
      </c>
      <c r="AC80" s="56" t="str">
        <f>IF('4. Policy Interactive Screen'!L89&lt;&gt;"",'4. Policy Interactive Screen'!L89,"")</f>
        <v/>
      </c>
      <c r="AD80" s="56" t="str">
        <f>IF('policy interact graph numbers'!AR89&lt;&gt;"",'policy interact graph numbers'!AR89,"")</f>
        <v/>
      </c>
    </row>
    <row r="81" spans="1:30" ht="15" thickBot="1" x14ac:dyDescent="0.45">
      <c r="A81" s="113">
        <v>76</v>
      </c>
      <c r="B81" s="310" t="str">
        <f>IF(Coverage!$B81="","",Coverage!$B81)</f>
        <v/>
      </c>
      <c r="C81" s="34" t="str">
        <f t="shared" si="17"/>
        <v/>
      </c>
      <c r="D81" s="308" t="str">
        <f t="shared" si="13"/>
        <v/>
      </c>
      <c r="E81" s="308" t="str">
        <f t="shared" si="14"/>
        <v/>
      </c>
      <c r="F81" s="308" t="str">
        <f t="shared" si="15"/>
        <v/>
      </c>
      <c r="G81" s="308" t="str">
        <f t="shared" si="16"/>
        <v/>
      </c>
      <c r="H81" s="34" t="str">
        <f t="shared" si="17"/>
        <v/>
      </c>
      <c r="I81" s="34" t="str">
        <f t="shared" si="12"/>
        <v/>
      </c>
      <c r="J81" s="34" t="str">
        <f t="shared" si="17"/>
        <v/>
      </c>
      <c r="K81" s="34" t="str">
        <f t="shared" si="17"/>
        <v/>
      </c>
      <c r="L81" s="202">
        <f>IFERROR(IF($I81="Urban",(VLOOKUP($K81,lookup_urban,L$1,FALSE)*$H81*Coverage!H81),IF($I81="Rural",(VLOOKUP($K81,lookup_rural,L$1,FALSE)*$H81*Coverage!G81),(VLOOKUP($K81,lookup_demography,L$1,FALSE)*$H81*Coverage!G81))),0)</f>
        <v>0</v>
      </c>
      <c r="M81" s="202">
        <f>IFERROR(IF($I81="Urban",(VLOOKUP($K81,lookup_urban,M$1,FALSE)*$H81*Coverage!I81),IF($I81="Rural",(VLOOKUP($K81,lookup_rural,M$1,FALSE)*$H81*Coverage!I81),(VLOOKUP($K81,lookup_demography,M$1,FALSE)*$H81*Coverage!I81))),0)</f>
        <v>0</v>
      </c>
      <c r="N81" s="202">
        <f>IFERROR(IF($I81="Urban",(VLOOKUP($K81,lookup_urban,N$1,FALSE)*$H81*Coverage!J81),IF($I81="Rural",(VLOOKUP($K81,lookup_rural,N$1,FALSE)*$H81*Coverage!J81),(VLOOKUP($K81,lookup_demography,N$1,FALSE)*$H81*Coverage!J81))),0)</f>
        <v>0</v>
      </c>
      <c r="O81" s="202">
        <f>IFERROR(IF($I81="Urban",(VLOOKUP($K81,lookup_urban,O$1,FALSE)*$H81*Coverage!K81),IF($I81="Rural",(VLOOKUP($K81,lookup_rural,O$1,FALSE)*$H81*Coverage!K81),(VLOOKUP($K81,lookup_demography,O$1,FALSE)*$H81*Coverage!K81))),0)</f>
        <v>0</v>
      </c>
      <c r="Q81">
        <f>L81*'3. Intervention Details'!$H81</f>
        <v>0</v>
      </c>
      <c r="R81">
        <f>M81*'3. Intervention Details'!$H81</f>
        <v>0</v>
      </c>
      <c r="S81">
        <f>N81*'3. Intervention Details'!$H81</f>
        <v>0</v>
      </c>
      <c r="T81">
        <f>O81*'3. Intervention Details'!$H81</f>
        <v>0</v>
      </c>
      <c r="AA81" s="56" t="str">
        <f>IF('4. Policy Interactive Screen'!F90&lt;&gt;"",'4. Policy Interactive Screen'!F90,"")</f>
        <v/>
      </c>
      <c r="AB81" s="56" t="str">
        <f>IF('4. Policy Interactive Screen'!I90&lt;&gt;"",'4. Policy Interactive Screen'!I90,"")</f>
        <v/>
      </c>
      <c r="AC81" s="56" t="str">
        <f>IF('4. Policy Interactive Screen'!L90&lt;&gt;"",'4. Policy Interactive Screen'!L90,"")</f>
        <v/>
      </c>
      <c r="AD81" s="56" t="str">
        <f>IF('policy interact graph numbers'!AR90&lt;&gt;"",'policy interact graph numbers'!AR90,"")</f>
        <v/>
      </c>
    </row>
    <row r="82" spans="1:30" ht="15" thickBot="1" x14ac:dyDescent="0.45">
      <c r="A82" s="113">
        <v>77</v>
      </c>
      <c r="B82" s="310" t="str">
        <f>IF(Coverage!$B82="","",Coverage!$B82)</f>
        <v/>
      </c>
      <c r="C82" s="34" t="str">
        <f t="shared" si="17"/>
        <v/>
      </c>
      <c r="D82" s="308" t="str">
        <f t="shared" si="13"/>
        <v/>
      </c>
      <c r="E82" s="308" t="str">
        <f t="shared" si="14"/>
        <v/>
      </c>
      <c r="F82" s="308" t="str">
        <f t="shared" si="15"/>
        <v/>
      </c>
      <c r="G82" s="308" t="str">
        <f t="shared" si="16"/>
        <v/>
      </c>
      <c r="H82" s="34" t="str">
        <f t="shared" si="17"/>
        <v/>
      </c>
      <c r="I82" s="34" t="str">
        <f t="shared" si="17"/>
        <v/>
      </c>
      <c r="J82" s="34" t="str">
        <f t="shared" si="17"/>
        <v/>
      </c>
      <c r="K82" s="34" t="str">
        <f t="shared" si="17"/>
        <v/>
      </c>
      <c r="L82" s="202">
        <f>IFERROR(IF($I82="Urban",(VLOOKUP($K82,lookup_urban,L$1,FALSE)*$H82*Coverage!H82),IF($I82="Rural",(VLOOKUP($K82,lookup_rural,L$1,FALSE)*$H82*Coverage!G82),(VLOOKUP($K82,lookup_demography,L$1,FALSE)*$H82*Coverage!G82))),0)</f>
        <v>0</v>
      </c>
      <c r="M82" s="202">
        <f>IFERROR(IF($I82="Urban",(VLOOKUP($K82,lookup_urban,M$1,FALSE)*$H82*Coverage!I82),IF($I82="Rural",(VLOOKUP($K82,lookup_rural,M$1,FALSE)*$H82*Coverage!I82),(VLOOKUP($K82,lookup_demography,M$1,FALSE)*$H82*Coverage!I82))),0)</f>
        <v>0</v>
      </c>
      <c r="N82" s="202">
        <f>IFERROR(IF($I82="Urban",(VLOOKUP($K82,lookup_urban,N$1,FALSE)*$H82*Coverage!J82),IF($I82="Rural",(VLOOKUP($K82,lookup_rural,N$1,FALSE)*$H82*Coverage!J82),(VLOOKUP($K82,lookup_demography,N$1,FALSE)*$H82*Coverage!J82))),0)</f>
        <v>0</v>
      </c>
      <c r="O82" s="202">
        <f>IFERROR(IF($I82="Urban",(VLOOKUP($K82,lookup_urban,O$1,FALSE)*$H82*Coverage!K82),IF($I82="Rural",(VLOOKUP($K82,lookup_rural,O$1,FALSE)*$H82*Coverage!K82),(VLOOKUP($K82,lookup_demography,O$1,FALSE)*$H82*Coverage!K82))),0)</f>
        <v>0</v>
      </c>
      <c r="Q82">
        <f>L82*'3. Intervention Details'!$H82</f>
        <v>0</v>
      </c>
      <c r="R82">
        <f>M82*'3. Intervention Details'!$H82</f>
        <v>0</v>
      </c>
      <c r="S82">
        <f>N82*'3. Intervention Details'!$H82</f>
        <v>0</v>
      </c>
      <c r="T82">
        <f>O82*'3. Intervention Details'!$H82</f>
        <v>0</v>
      </c>
      <c r="AA82" s="56" t="str">
        <f>IF('4. Policy Interactive Screen'!F91&lt;&gt;"",'4. Policy Interactive Screen'!F91,"")</f>
        <v/>
      </c>
      <c r="AB82" s="56" t="str">
        <f>IF('4. Policy Interactive Screen'!I91&lt;&gt;"",'4. Policy Interactive Screen'!I91,"")</f>
        <v/>
      </c>
      <c r="AC82" s="56" t="str">
        <f>IF('4. Policy Interactive Screen'!L91&lt;&gt;"",'4. Policy Interactive Screen'!L91,"")</f>
        <v/>
      </c>
      <c r="AD82" s="56" t="str">
        <f>IF('policy interact graph numbers'!AR91&lt;&gt;"",'policy interact graph numbers'!AR91,"")</f>
        <v/>
      </c>
    </row>
    <row r="83" spans="1:30" ht="15" thickBot="1" x14ac:dyDescent="0.45">
      <c r="A83" s="113">
        <v>78</v>
      </c>
      <c r="B83" s="310" t="str">
        <f>IF(Coverage!$B83="","",Coverage!$B83)</f>
        <v/>
      </c>
      <c r="C83" s="34" t="str">
        <f t="shared" si="17"/>
        <v/>
      </c>
      <c r="D83" s="308" t="str">
        <f t="shared" si="13"/>
        <v/>
      </c>
      <c r="E83" s="308" t="str">
        <f t="shared" si="14"/>
        <v/>
      </c>
      <c r="F83" s="308" t="str">
        <f t="shared" si="15"/>
        <v/>
      </c>
      <c r="G83" s="308" t="str">
        <f t="shared" si="16"/>
        <v/>
      </c>
      <c r="H83" s="34" t="str">
        <f t="shared" si="17"/>
        <v/>
      </c>
      <c r="I83" s="34" t="str">
        <f t="shared" si="17"/>
        <v/>
      </c>
      <c r="J83" s="34" t="str">
        <f t="shared" si="17"/>
        <v/>
      </c>
      <c r="K83" s="34" t="str">
        <f t="shared" si="17"/>
        <v/>
      </c>
      <c r="L83" s="202">
        <f>IFERROR(IF($I83="Urban",(VLOOKUP($K83,lookup_urban,L$1,FALSE)*$H83*Coverage!H83),IF($I83="Rural",(VLOOKUP($K83,lookup_rural,L$1,FALSE)*$H83*Coverage!G83),(VLOOKUP($K83,lookup_demography,L$1,FALSE)*$H83*Coverage!G83))),0)</f>
        <v>0</v>
      </c>
      <c r="M83" s="202">
        <f>IFERROR(IF($I83="Urban",(VLOOKUP($K83,lookup_urban,M$1,FALSE)*$H83*Coverage!I83),IF($I83="Rural",(VLOOKUP($K83,lookup_rural,M$1,FALSE)*$H83*Coverage!I83),(VLOOKUP($K83,lookup_demography,M$1,FALSE)*$H83*Coverage!I83))),0)</f>
        <v>0</v>
      </c>
      <c r="N83" s="202">
        <f>IFERROR(IF($I83="Urban",(VLOOKUP($K83,lookup_urban,N$1,FALSE)*$H83*Coverage!J83),IF($I83="Rural",(VLOOKUP($K83,lookup_rural,N$1,FALSE)*$H83*Coverage!J83),(VLOOKUP($K83,lookup_demography,N$1,FALSE)*$H83*Coverage!J83))),0)</f>
        <v>0</v>
      </c>
      <c r="O83" s="202">
        <f>IFERROR(IF($I83="Urban",(VLOOKUP($K83,lookup_urban,O$1,FALSE)*$H83*Coverage!K83),IF($I83="Rural",(VLOOKUP($K83,lookup_rural,O$1,FALSE)*$H83*Coverage!K83),(VLOOKUP($K83,lookup_demography,O$1,FALSE)*$H83*Coverage!K83))),0)</f>
        <v>0</v>
      </c>
      <c r="Q83">
        <f>L83*'3. Intervention Details'!$H83</f>
        <v>0</v>
      </c>
      <c r="R83">
        <f>M83*'3. Intervention Details'!$H83</f>
        <v>0</v>
      </c>
      <c r="S83">
        <f>N83*'3. Intervention Details'!$H83</f>
        <v>0</v>
      </c>
      <c r="T83">
        <f>O83*'3. Intervention Details'!$H83</f>
        <v>0</v>
      </c>
      <c r="AA83" s="56" t="str">
        <f>IF('4. Policy Interactive Screen'!F92&lt;&gt;"",'4. Policy Interactive Screen'!F92,"")</f>
        <v/>
      </c>
      <c r="AB83" s="56" t="str">
        <f>IF('4. Policy Interactive Screen'!I92&lt;&gt;"",'4. Policy Interactive Screen'!I92,"")</f>
        <v/>
      </c>
      <c r="AC83" s="56" t="str">
        <f>IF('4. Policy Interactive Screen'!L92&lt;&gt;"",'4. Policy Interactive Screen'!L92,"")</f>
        <v/>
      </c>
      <c r="AD83" s="56" t="str">
        <f>IF('policy interact graph numbers'!AR92&lt;&gt;"",'policy interact graph numbers'!AR92,"")</f>
        <v/>
      </c>
    </row>
    <row r="84" spans="1:30" ht="15" thickBot="1" x14ac:dyDescent="0.45">
      <c r="A84" s="113">
        <v>79</v>
      </c>
      <c r="B84" s="310" t="str">
        <f>IF(Coverage!$B84="","",Coverage!$B84)</f>
        <v/>
      </c>
      <c r="C84" s="34" t="str">
        <f t="shared" si="17"/>
        <v/>
      </c>
      <c r="D84" s="308" t="str">
        <f t="shared" si="13"/>
        <v/>
      </c>
      <c r="E84" s="308" t="str">
        <f t="shared" si="14"/>
        <v/>
      </c>
      <c r="F84" s="308" t="str">
        <f t="shared" si="15"/>
        <v/>
      </c>
      <c r="G84" s="308" t="str">
        <f t="shared" si="16"/>
        <v/>
      </c>
      <c r="H84" s="34" t="str">
        <f t="shared" si="17"/>
        <v/>
      </c>
      <c r="I84" s="34" t="str">
        <f t="shared" si="17"/>
        <v/>
      </c>
      <c r="J84" s="34" t="str">
        <f t="shared" si="17"/>
        <v/>
      </c>
      <c r="K84" s="34" t="str">
        <f t="shared" si="17"/>
        <v/>
      </c>
      <c r="L84" s="202">
        <f>IFERROR(IF($I84="Urban",(VLOOKUP($K84,lookup_urban,L$1,FALSE)*$H84*Coverage!H84),IF($I84="Rural",(VLOOKUP($K84,lookup_rural,L$1,FALSE)*$H84*Coverage!G84),(VLOOKUP($K84,lookup_demography,L$1,FALSE)*$H84*Coverage!G84))),0)</f>
        <v>0</v>
      </c>
      <c r="M84" s="202">
        <f>IFERROR(IF($I84="Urban",(VLOOKUP($K84,lookup_urban,M$1,FALSE)*$H84*Coverage!I84),IF($I84="Rural",(VLOOKUP($K84,lookup_rural,M$1,FALSE)*$H84*Coverage!I84),(VLOOKUP($K84,lookup_demography,M$1,FALSE)*$H84*Coverage!I84))),0)</f>
        <v>0</v>
      </c>
      <c r="N84" s="202">
        <f>IFERROR(IF($I84="Urban",(VLOOKUP($K84,lookup_urban,N$1,FALSE)*$H84*Coverage!J84),IF($I84="Rural",(VLOOKUP($K84,lookup_rural,N$1,FALSE)*$H84*Coverage!J84),(VLOOKUP($K84,lookup_demography,N$1,FALSE)*$H84*Coverage!J84))),0)</f>
        <v>0</v>
      </c>
      <c r="O84" s="202">
        <f>IFERROR(IF($I84="Urban",(VLOOKUP($K84,lookup_urban,O$1,FALSE)*$H84*Coverage!K84),IF($I84="Rural",(VLOOKUP($K84,lookup_rural,O$1,FALSE)*$H84*Coverage!K84),(VLOOKUP($K84,lookup_demography,O$1,FALSE)*$H84*Coverage!K84))),0)</f>
        <v>0</v>
      </c>
      <c r="Q84">
        <f>L84*'3. Intervention Details'!$H84</f>
        <v>0</v>
      </c>
      <c r="R84">
        <f>M84*'3. Intervention Details'!$H84</f>
        <v>0</v>
      </c>
      <c r="S84">
        <f>N84*'3. Intervention Details'!$H84</f>
        <v>0</v>
      </c>
      <c r="T84">
        <f>O84*'3. Intervention Details'!$H84</f>
        <v>0</v>
      </c>
      <c r="AA84" s="56" t="str">
        <f>IF('4. Policy Interactive Screen'!F93&lt;&gt;"",'4. Policy Interactive Screen'!F93,"")</f>
        <v/>
      </c>
      <c r="AB84" s="56" t="str">
        <f>IF('4. Policy Interactive Screen'!I93&lt;&gt;"",'4. Policy Interactive Screen'!I93,"")</f>
        <v/>
      </c>
      <c r="AC84" s="56" t="str">
        <f>IF('4. Policy Interactive Screen'!L93&lt;&gt;"",'4. Policy Interactive Screen'!L93,"")</f>
        <v/>
      </c>
      <c r="AD84" s="56" t="str">
        <f>IF('policy interact graph numbers'!AR93&lt;&gt;"",'policy interact graph numbers'!AR93,"")</f>
        <v/>
      </c>
    </row>
    <row r="85" spans="1:30" ht="15" thickBot="1" x14ac:dyDescent="0.45">
      <c r="A85" s="113">
        <v>80</v>
      </c>
      <c r="B85" s="310" t="str">
        <f>IF(Coverage!$B85="","",Coverage!$B85)</f>
        <v/>
      </c>
      <c r="C85" s="34" t="str">
        <f t="shared" si="17"/>
        <v/>
      </c>
      <c r="D85" s="308" t="str">
        <f t="shared" si="13"/>
        <v/>
      </c>
      <c r="E85" s="308" t="str">
        <f t="shared" si="14"/>
        <v/>
      </c>
      <c r="F85" s="308" t="str">
        <f t="shared" si="15"/>
        <v/>
      </c>
      <c r="G85" s="308" t="str">
        <f t="shared" si="16"/>
        <v/>
      </c>
      <c r="H85" s="34" t="str">
        <f t="shared" si="17"/>
        <v/>
      </c>
      <c r="I85" s="34" t="str">
        <f t="shared" si="17"/>
        <v/>
      </c>
      <c r="J85" s="34" t="str">
        <f t="shared" si="17"/>
        <v/>
      </c>
      <c r="K85" s="34" t="str">
        <f t="shared" si="17"/>
        <v/>
      </c>
      <c r="L85" s="202">
        <f>IFERROR(IF($I85="Urban",(VLOOKUP($K85,lookup_urban,L$1,FALSE)*$H85*Coverage!H85),IF($I85="Rural",(VLOOKUP($K85,lookup_rural,L$1,FALSE)*$H85*Coverage!G85),(VLOOKUP($K85,lookup_demography,L$1,FALSE)*$H85*Coverage!G85))),0)</f>
        <v>0</v>
      </c>
      <c r="M85" s="202">
        <f>IFERROR(IF($I85="Urban",(VLOOKUP($K85,lookup_urban,M$1,FALSE)*$H85*Coverage!I85),IF($I85="Rural",(VLOOKUP($K85,lookup_rural,M$1,FALSE)*$H85*Coverage!I85),(VLOOKUP($K85,lookup_demography,M$1,FALSE)*$H85*Coverage!I85))),0)</f>
        <v>0</v>
      </c>
      <c r="N85" s="202">
        <f>IFERROR(IF($I85="Urban",(VLOOKUP($K85,lookup_urban,N$1,FALSE)*$H85*Coverage!J85),IF($I85="Rural",(VLOOKUP($K85,lookup_rural,N$1,FALSE)*$H85*Coverage!J85),(VLOOKUP($K85,lookup_demography,N$1,FALSE)*$H85*Coverage!J85))),0)</f>
        <v>0</v>
      </c>
      <c r="O85" s="202">
        <f>IFERROR(IF($I85="Urban",(VLOOKUP($K85,lookup_urban,O$1,FALSE)*$H85*Coverage!K85),IF($I85="Rural",(VLOOKUP($K85,lookup_rural,O$1,FALSE)*$H85*Coverage!K85),(VLOOKUP($K85,lookup_demography,O$1,FALSE)*$H85*Coverage!K85))),0)</f>
        <v>0</v>
      </c>
      <c r="Q85">
        <f>L85*'3. Intervention Details'!$H85</f>
        <v>0</v>
      </c>
      <c r="R85">
        <f>M85*'3. Intervention Details'!$H85</f>
        <v>0</v>
      </c>
      <c r="S85">
        <f>N85*'3. Intervention Details'!$H85</f>
        <v>0</v>
      </c>
      <c r="T85">
        <f>O85*'3. Intervention Details'!$H85</f>
        <v>0</v>
      </c>
      <c r="AA85" s="56" t="str">
        <f>IF('4. Policy Interactive Screen'!F94&lt;&gt;"",'4. Policy Interactive Screen'!F94,"")</f>
        <v/>
      </c>
      <c r="AB85" s="56" t="str">
        <f>IF('4. Policy Interactive Screen'!I94&lt;&gt;"",'4. Policy Interactive Screen'!I94,"")</f>
        <v/>
      </c>
      <c r="AC85" s="56" t="str">
        <f>IF('4. Policy Interactive Screen'!L94&lt;&gt;"",'4. Policy Interactive Screen'!L94,"")</f>
        <v/>
      </c>
      <c r="AD85" s="56" t="str">
        <f>IF('policy interact graph numbers'!AR94&lt;&gt;"",'policy interact graph numbers'!AR94,"")</f>
        <v/>
      </c>
    </row>
    <row r="86" spans="1:30" ht="15" thickBot="1" x14ac:dyDescent="0.45">
      <c r="A86" s="113">
        <v>81</v>
      </c>
      <c r="B86" s="310" t="str">
        <f>IF(Coverage!$B86="","",Coverage!$B86)</f>
        <v/>
      </c>
      <c r="C86" s="34" t="str">
        <f t="shared" ref="C86:K101" si="18">IFERROR((VLOOKUP($B86,lookup_masterlist,C$1,FALSE)),"")</f>
        <v/>
      </c>
      <c r="D86" s="308" t="str">
        <f t="shared" si="13"/>
        <v/>
      </c>
      <c r="E86" s="308" t="str">
        <f t="shared" si="14"/>
        <v/>
      </c>
      <c r="F86" s="308" t="str">
        <f t="shared" si="15"/>
        <v/>
      </c>
      <c r="G86" s="308" t="str">
        <f t="shared" si="16"/>
        <v/>
      </c>
      <c r="H86" s="34" t="str">
        <f t="shared" si="18"/>
        <v/>
      </c>
      <c r="I86" s="34" t="str">
        <f t="shared" si="17"/>
        <v/>
      </c>
      <c r="J86" s="34" t="str">
        <f t="shared" si="18"/>
        <v/>
      </c>
      <c r="K86" s="34" t="str">
        <f t="shared" si="18"/>
        <v/>
      </c>
      <c r="L86" s="202">
        <f>IFERROR(IF($I86="Urban",(VLOOKUP($K86,lookup_urban,L$1,FALSE)*$H86*Coverage!H86),IF($I86="Rural",(VLOOKUP($K86,lookup_rural,L$1,FALSE)*$H86*Coverage!G86),(VLOOKUP($K86,lookup_demography,L$1,FALSE)*$H86*Coverage!G86))),0)</f>
        <v>0</v>
      </c>
      <c r="M86" s="202">
        <f>IFERROR(IF($I86="Urban",(VLOOKUP($K86,lookup_urban,M$1,FALSE)*$H86*Coverage!I86),IF($I86="Rural",(VLOOKUP($K86,lookup_rural,M$1,FALSE)*$H86*Coverage!I86),(VLOOKUP($K86,lookup_demography,M$1,FALSE)*$H86*Coverage!I86))),0)</f>
        <v>0</v>
      </c>
      <c r="N86" s="202">
        <f>IFERROR(IF($I86="Urban",(VLOOKUP($K86,lookup_urban,N$1,FALSE)*$H86*Coverage!J86),IF($I86="Rural",(VLOOKUP($K86,lookup_rural,N$1,FALSE)*$H86*Coverage!J86),(VLOOKUP($K86,lookup_demography,N$1,FALSE)*$H86*Coverage!J86))),0)</f>
        <v>0</v>
      </c>
      <c r="O86" s="202">
        <f>IFERROR(IF($I86="Urban",(VLOOKUP($K86,lookup_urban,O$1,FALSE)*$H86*Coverage!K86),IF($I86="Rural",(VLOOKUP($K86,lookup_rural,O$1,FALSE)*$H86*Coverage!K86),(VLOOKUP($K86,lookup_demography,O$1,FALSE)*$H86*Coverage!K86))),0)</f>
        <v>0</v>
      </c>
      <c r="Q86">
        <f>L86*'3. Intervention Details'!$H86</f>
        <v>0</v>
      </c>
      <c r="R86">
        <f>M86*'3. Intervention Details'!$H86</f>
        <v>0</v>
      </c>
      <c r="S86">
        <f>N86*'3. Intervention Details'!$H86</f>
        <v>0</v>
      </c>
      <c r="T86">
        <f>O86*'3. Intervention Details'!$H86</f>
        <v>0</v>
      </c>
      <c r="AA86" s="56" t="str">
        <f>IF('4. Policy Interactive Screen'!F95&lt;&gt;"",'4. Policy Interactive Screen'!F95,"")</f>
        <v/>
      </c>
      <c r="AB86" s="56" t="str">
        <f>IF('4. Policy Interactive Screen'!I95&lt;&gt;"",'4. Policy Interactive Screen'!I95,"")</f>
        <v/>
      </c>
      <c r="AC86" s="56" t="str">
        <f>IF('4. Policy Interactive Screen'!L95&lt;&gt;"",'4. Policy Interactive Screen'!L95,"")</f>
        <v/>
      </c>
      <c r="AD86" s="56" t="str">
        <f>IF('policy interact graph numbers'!AR95&lt;&gt;"",'policy interact graph numbers'!AR95,"")</f>
        <v/>
      </c>
    </row>
    <row r="87" spans="1:30" ht="15" thickBot="1" x14ac:dyDescent="0.45">
      <c r="A87" s="113">
        <v>82</v>
      </c>
      <c r="B87" s="310" t="str">
        <f>IF(Coverage!$B87="","",Coverage!$B87)</f>
        <v/>
      </c>
      <c r="C87" s="34" t="str">
        <f t="shared" si="18"/>
        <v/>
      </c>
      <c r="D87" s="308" t="str">
        <f t="shared" si="13"/>
        <v/>
      </c>
      <c r="E87" s="308" t="str">
        <f t="shared" si="14"/>
        <v/>
      </c>
      <c r="F87" s="308" t="str">
        <f t="shared" si="15"/>
        <v/>
      </c>
      <c r="G87" s="308" t="str">
        <f t="shared" si="16"/>
        <v/>
      </c>
      <c r="H87" s="34" t="str">
        <f t="shared" si="18"/>
        <v/>
      </c>
      <c r="I87" s="34" t="str">
        <f t="shared" si="17"/>
        <v/>
      </c>
      <c r="J87" s="34" t="str">
        <f t="shared" si="18"/>
        <v/>
      </c>
      <c r="K87" s="34" t="str">
        <f t="shared" si="18"/>
        <v/>
      </c>
      <c r="L87" s="202">
        <f>IFERROR(IF($I87="Urban",(VLOOKUP($K87,lookup_urban,L$1,FALSE)*$H87*Coverage!H87),IF($I87="Rural",(VLOOKUP($K87,lookup_rural,L$1,FALSE)*$H87*Coverage!G87),(VLOOKUP($K87,lookup_demography,L$1,FALSE)*$H87*Coverage!G87))),0)</f>
        <v>0</v>
      </c>
      <c r="M87" s="202">
        <f>IFERROR(IF($I87="Urban",(VLOOKUP($K87,lookup_urban,M$1,FALSE)*$H87*Coverage!I87),IF($I87="Rural",(VLOOKUP($K87,lookup_rural,M$1,FALSE)*$H87*Coverage!I87),(VLOOKUP($K87,lookup_demography,M$1,FALSE)*$H87*Coverage!I87))),0)</f>
        <v>0</v>
      </c>
      <c r="N87" s="202">
        <f>IFERROR(IF($I87="Urban",(VLOOKUP($K87,lookup_urban,N$1,FALSE)*$H87*Coverage!J87),IF($I87="Rural",(VLOOKUP($K87,lookup_rural,N$1,FALSE)*$H87*Coverage!J87),(VLOOKUP($K87,lookup_demography,N$1,FALSE)*$H87*Coverage!J87))),0)</f>
        <v>0</v>
      </c>
      <c r="O87" s="202">
        <f>IFERROR(IF($I87="Urban",(VLOOKUP($K87,lookup_urban,O$1,FALSE)*$H87*Coverage!K87),IF($I87="Rural",(VLOOKUP($K87,lookup_rural,O$1,FALSE)*$H87*Coverage!K87),(VLOOKUP($K87,lookup_demography,O$1,FALSE)*$H87*Coverage!K87))),0)</f>
        <v>0</v>
      </c>
      <c r="Q87">
        <f>L87*'3. Intervention Details'!$H87</f>
        <v>0</v>
      </c>
      <c r="R87">
        <f>M87*'3. Intervention Details'!$H87</f>
        <v>0</v>
      </c>
      <c r="S87">
        <f>N87*'3. Intervention Details'!$H87</f>
        <v>0</v>
      </c>
      <c r="T87">
        <f>O87*'3. Intervention Details'!$H87</f>
        <v>0</v>
      </c>
      <c r="AA87" s="56" t="str">
        <f>IF('4. Policy Interactive Screen'!F96&lt;&gt;"",'4. Policy Interactive Screen'!F96,"")</f>
        <v/>
      </c>
      <c r="AB87" s="56" t="str">
        <f>IF('4. Policy Interactive Screen'!I96&lt;&gt;"",'4. Policy Interactive Screen'!I96,"")</f>
        <v/>
      </c>
      <c r="AC87" s="56" t="str">
        <f>IF('4. Policy Interactive Screen'!L96&lt;&gt;"",'4. Policy Interactive Screen'!L96,"")</f>
        <v/>
      </c>
      <c r="AD87" s="56" t="str">
        <f>IF('policy interact graph numbers'!AR96&lt;&gt;"",'policy interact graph numbers'!AR96,"")</f>
        <v/>
      </c>
    </row>
    <row r="88" spans="1:30" ht="15" thickBot="1" x14ac:dyDescent="0.45">
      <c r="A88" s="113">
        <v>83</v>
      </c>
      <c r="B88" s="310" t="str">
        <f>IF(Coverage!$B88="","",Coverage!$B88)</f>
        <v/>
      </c>
      <c r="C88" s="34" t="str">
        <f t="shared" si="18"/>
        <v/>
      </c>
      <c r="D88" s="308" t="str">
        <f t="shared" si="13"/>
        <v/>
      </c>
      <c r="E88" s="308" t="str">
        <f t="shared" si="14"/>
        <v/>
      </c>
      <c r="F88" s="308" t="str">
        <f t="shared" si="15"/>
        <v/>
      </c>
      <c r="G88" s="308" t="str">
        <f t="shared" si="16"/>
        <v/>
      </c>
      <c r="H88" s="34" t="str">
        <f t="shared" si="18"/>
        <v/>
      </c>
      <c r="I88" s="34" t="str">
        <f t="shared" si="17"/>
        <v/>
      </c>
      <c r="J88" s="34" t="str">
        <f t="shared" si="18"/>
        <v/>
      </c>
      <c r="K88" s="34" t="str">
        <f t="shared" si="18"/>
        <v/>
      </c>
      <c r="L88" s="202">
        <f>IFERROR(IF($I88="Urban",(VLOOKUP($K88,lookup_urban,L$1,FALSE)*$H88*Coverage!H88),IF($I88="Rural",(VLOOKUP($K88,lookup_rural,L$1,FALSE)*$H88*Coverage!G88),(VLOOKUP($K88,lookup_demography,L$1,FALSE)*$H88*Coverage!G88))),0)</f>
        <v>0</v>
      </c>
      <c r="M88" s="202">
        <f>IFERROR(IF($I88="Urban",(VLOOKUP($K88,lookup_urban,M$1,FALSE)*$H88*Coverage!I88),IF($I88="Rural",(VLOOKUP($K88,lookup_rural,M$1,FALSE)*$H88*Coverage!I88),(VLOOKUP($K88,lookup_demography,M$1,FALSE)*$H88*Coverage!I88))),0)</f>
        <v>0</v>
      </c>
      <c r="N88" s="202">
        <f>IFERROR(IF($I88="Urban",(VLOOKUP($K88,lookup_urban,N$1,FALSE)*$H88*Coverage!J88),IF($I88="Rural",(VLOOKUP($K88,lookup_rural,N$1,FALSE)*$H88*Coverage!J88),(VLOOKUP($K88,lookup_demography,N$1,FALSE)*$H88*Coverage!J88))),0)</f>
        <v>0</v>
      </c>
      <c r="O88" s="202">
        <f>IFERROR(IF($I88="Urban",(VLOOKUP($K88,lookup_urban,O$1,FALSE)*$H88*Coverage!K88),IF($I88="Rural",(VLOOKUP($K88,lookup_rural,O$1,FALSE)*$H88*Coverage!K88),(VLOOKUP($K88,lookup_demography,O$1,FALSE)*$H88*Coverage!K88))),0)</f>
        <v>0</v>
      </c>
      <c r="Q88">
        <f>L88*'3. Intervention Details'!$H88</f>
        <v>0</v>
      </c>
      <c r="R88">
        <f>M88*'3. Intervention Details'!$H88</f>
        <v>0</v>
      </c>
      <c r="S88">
        <f>N88*'3. Intervention Details'!$H88</f>
        <v>0</v>
      </c>
      <c r="T88">
        <f>O88*'3. Intervention Details'!$H88</f>
        <v>0</v>
      </c>
      <c r="AA88" s="56" t="str">
        <f>IF('4. Policy Interactive Screen'!F97&lt;&gt;"",'4. Policy Interactive Screen'!F97,"")</f>
        <v/>
      </c>
      <c r="AB88" s="56" t="str">
        <f>IF('4. Policy Interactive Screen'!I97&lt;&gt;"",'4. Policy Interactive Screen'!I97,"")</f>
        <v/>
      </c>
      <c r="AC88" s="56" t="str">
        <f>IF('4. Policy Interactive Screen'!L97&lt;&gt;"",'4. Policy Interactive Screen'!L97,"")</f>
        <v/>
      </c>
      <c r="AD88" s="56" t="str">
        <f>IF('policy interact graph numbers'!AR97&lt;&gt;"",'policy interact graph numbers'!AR97,"")</f>
        <v/>
      </c>
    </row>
    <row r="89" spans="1:30" ht="15" thickBot="1" x14ac:dyDescent="0.45">
      <c r="A89" s="113">
        <v>84</v>
      </c>
      <c r="B89" s="310" t="str">
        <f>IF(Coverage!$B89="","",Coverage!$B89)</f>
        <v/>
      </c>
      <c r="C89" s="34" t="str">
        <f t="shared" si="18"/>
        <v/>
      </c>
      <c r="D89" s="308" t="str">
        <f t="shared" si="13"/>
        <v/>
      </c>
      <c r="E89" s="308" t="str">
        <f t="shared" si="14"/>
        <v/>
      </c>
      <c r="F89" s="308" t="str">
        <f t="shared" si="15"/>
        <v/>
      </c>
      <c r="G89" s="308" t="str">
        <f t="shared" si="16"/>
        <v/>
      </c>
      <c r="H89" s="34" t="str">
        <f t="shared" si="18"/>
        <v/>
      </c>
      <c r="I89" s="34" t="str">
        <f t="shared" si="17"/>
        <v/>
      </c>
      <c r="J89" s="34" t="str">
        <f t="shared" si="18"/>
        <v/>
      </c>
      <c r="K89" s="34" t="str">
        <f t="shared" si="18"/>
        <v/>
      </c>
      <c r="L89" s="202">
        <f>IFERROR(IF($I89="Urban",(VLOOKUP($K89,lookup_urban,L$1,FALSE)*$H89*Coverage!H89),IF($I89="Rural",(VLOOKUP($K89,lookup_rural,L$1,FALSE)*$H89*Coverage!G89),(VLOOKUP($K89,lookup_demography,L$1,FALSE)*$H89*Coverage!G89))),0)</f>
        <v>0</v>
      </c>
      <c r="M89" s="202">
        <f>IFERROR(IF($I89="Urban",(VLOOKUP($K89,lookup_urban,M$1,FALSE)*$H89*Coverage!I89),IF($I89="Rural",(VLOOKUP($K89,lookup_rural,M$1,FALSE)*$H89*Coverage!I89),(VLOOKUP($K89,lookup_demography,M$1,FALSE)*$H89*Coverage!I89))),0)</f>
        <v>0</v>
      </c>
      <c r="N89" s="202">
        <f>IFERROR(IF($I89="Urban",(VLOOKUP($K89,lookup_urban,N$1,FALSE)*$H89*Coverage!J89),IF($I89="Rural",(VLOOKUP($K89,lookup_rural,N$1,FALSE)*$H89*Coverage!J89),(VLOOKUP($K89,lookup_demography,N$1,FALSE)*$H89*Coverage!J89))),0)</f>
        <v>0</v>
      </c>
      <c r="O89" s="202">
        <f>IFERROR(IF($I89="Urban",(VLOOKUP($K89,lookup_urban,O$1,FALSE)*$H89*Coverage!K89),IF($I89="Rural",(VLOOKUP($K89,lookup_rural,O$1,FALSE)*$H89*Coverage!K89),(VLOOKUP($K89,lookup_demography,O$1,FALSE)*$H89*Coverage!K89))),0)</f>
        <v>0</v>
      </c>
      <c r="Q89">
        <f>L89*'3. Intervention Details'!$H89</f>
        <v>0</v>
      </c>
      <c r="R89">
        <f>M89*'3. Intervention Details'!$H89</f>
        <v>0</v>
      </c>
      <c r="S89">
        <f>N89*'3. Intervention Details'!$H89</f>
        <v>0</v>
      </c>
      <c r="T89">
        <f>O89*'3. Intervention Details'!$H89</f>
        <v>0</v>
      </c>
      <c r="AA89" s="56" t="str">
        <f>IF('4. Policy Interactive Screen'!F98&lt;&gt;"",'4. Policy Interactive Screen'!F98,"")</f>
        <v/>
      </c>
      <c r="AB89" s="56" t="str">
        <f>IF('4. Policy Interactive Screen'!I98&lt;&gt;"",'4. Policy Interactive Screen'!I98,"")</f>
        <v/>
      </c>
      <c r="AC89" s="56" t="str">
        <f>IF('4. Policy Interactive Screen'!L98&lt;&gt;"",'4. Policy Interactive Screen'!L98,"")</f>
        <v/>
      </c>
      <c r="AD89" s="56" t="str">
        <f>IF('policy interact graph numbers'!AR98&lt;&gt;"",'policy interact graph numbers'!AR98,"")</f>
        <v/>
      </c>
    </row>
    <row r="90" spans="1:30" ht="15" thickBot="1" x14ac:dyDescent="0.45">
      <c r="A90" s="113">
        <v>85</v>
      </c>
      <c r="B90" s="310" t="str">
        <f>IF(Coverage!$B90="","",Coverage!$B90)</f>
        <v/>
      </c>
      <c r="C90" s="34" t="str">
        <f t="shared" si="18"/>
        <v/>
      </c>
      <c r="D90" s="308" t="str">
        <f t="shared" si="13"/>
        <v/>
      </c>
      <c r="E90" s="308" t="str">
        <f t="shared" si="14"/>
        <v/>
      </c>
      <c r="F90" s="308" t="str">
        <f t="shared" si="15"/>
        <v/>
      </c>
      <c r="G90" s="308" t="str">
        <f t="shared" si="16"/>
        <v/>
      </c>
      <c r="H90" s="34" t="str">
        <f t="shared" si="18"/>
        <v/>
      </c>
      <c r="I90" s="34" t="str">
        <f t="shared" si="17"/>
        <v/>
      </c>
      <c r="J90" s="34" t="str">
        <f t="shared" si="18"/>
        <v/>
      </c>
      <c r="K90" s="34" t="str">
        <f t="shared" si="18"/>
        <v/>
      </c>
      <c r="L90" s="202">
        <f>IFERROR(IF($I90="Urban",(VLOOKUP($K90,lookup_urban,L$1,FALSE)*$H90*Coverage!H90),IF($I90="Rural",(VLOOKUP($K90,lookup_rural,L$1,FALSE)*$H90*Coverage!G90),(VLOOKUP($K90,lookup_demography,L$1,FALSE)*$H90*Coverage!G90))),0)</f>
        <v>0</v>
      </c>
      <c r="M90" s="202">
        <f>IFERROR(IF($I90="Urban",(VLOOKUP($K90,lookup_urban,M$1,FALSE)*$H90*Coverage!I90),IF($I90="Rural",(VLOOKUP($K90,lookup_rural,M$1,FALSE)*$H90*Coverage!I90),(VLOOKUP($K90,lookup_demography,M$1,FALSE)*$H90*Coverage!I90))),0)</f>
        <v>0</v>
      </c>
      <c r="N90" s="202">
        <f>IFERROR(IF($I90="Urban",(VLOOKUP($K90,lookup_urban,N$1,FALSE)*$H90*Coverage!J90),IF($I90="Rural",(VLOOKUP($K90,lookup_rural,N$1,FALSE)*$H90*Coverage!J90),(VLOOKUP($K90,lookup_demography,N$1,FALSE)*$H90*Coverage!J90))),0)</f>
        <v>0</v>
      </c>
      <c r="O90" s="202">
        <f>IFERROR(IF($I90="Urban",(VLOOKUP($K90,lookup_urban,O$1,FALSE)*$H90*Coverage!K90),IF($I90="Rural",(VLOOKUP($K90,lookup_rural,O$1,FALSE)*$H90*Coverage!K90),(VLOOKUP($K90,lookup_demography,O$1,FALSE)*$H90*Coverage!K90))),0)</f>
        <v>0</v>
      </c>
      <c r="Q90">
        <f>L90*'3. Intervention Details'!$H90</f>
        <v>0</v>
      </c>
      <c r="R90">
        <f>M90*'3. Intervention Details'!$H90</f>
        <v>0</v>
      </c>
      <c r="S90">
        <f>N90*'3. Intervention Details'!$H90</f>
        <v>0</v>
      </c>
      <c r="T90">
        <f>O90*'3. Intervention Details'!$H90</f>
        <v>0</v>
      </c>
      <c r="AA90" s="56" t="str">
        <f>IF('4. Policy Interactive Screen'!F99&lt;&gt;"",'4. Policy Interactive Screen'!F99,"")</f>
        <v/>
      </c>
      <c r="AB90" s="56" t="str">
        <f>IF('4. Policy Interactive Screen'!I99&lt;&gt;"",'4. Policy Interactive Screen'!I99,"")</f>
        <v/>
      </c>
      <c r="AC90" s="56" t="str">
        <f>IF('4. Policy Interactive Screen'!L99&lt;&gt;"",'4. Policy Interactive Screen'!L99,"")</f>
        <v/>
      </c>
      <c r="AD90" s="56" t="str">
        <f>IF('policy interact graph numbers'!AR99&lt;&gt;"",'policy interact graph numbers'!AR99,"")</f>
        <v/>
      </c>
    </row>
    <row r="91" spans="1:30" ht="15" thickBot="1" x14ac:dyDescent="0.45">
      <c r="A91" s="113">
        <v>86</v>
      </c>
      <c r="B91" s="310" t="str">
        <f>IF(Coverage!$B91="","",Coverage!$B91)</f>
        <v/>
      </c>
      <c r="C91" s="34" t="str">
        <f t="shared" si="18"/>
        <v/>
      </c>
      <c r="D91" s="308" t="str">
        <f t="shared" si="13"/>
        <v/>
      </c>
      <c r="E91" s="308" t="str">
        <f t="shared" si="14"/>
        <v/>
      </c>
      <c r="F91" s="308" t="str">
        <f t="shared" si="15"/>
        <v/>
      </c>
      <c r="G91" s="308" t="str">
        <f t="shared" si="16"/>
        <v/>
      </c>
      <c r="H91" s="34" t="str">
        <f t="shared" si="18"/>
        <v/>
      </c>
      <c r="I91" s="34" t="str">
        <f t="shared" si="17"/>
        <v/>
      </c>
      <c r="J91" s="34" t="str">
        <f t="shared" si="18"/>
        <v/>
      </c>
      <c r="K91" s="34" t="str">
        <f t="shared" si="18"/>
        <v/>
      </c>
      <c r="L91" s="202">
        <f>IFERROR(IF($I91="Urban",(VLOOKUP($K91,lookup_urban,L$1,FALSE)*$H91*Coverage!H91),IF($I91="Rural",(VLOOKUP($K91,lookup_rural,L$1,FALSE)*$H91*Coverage!G91),(VLOOKUP($K91,lookup_demography,L$1,FALSE)*$H91*Coverage!G91))),0)</f>
        <v>0</v>
      </c>
      <c r="M91" s="202">
        <f>IFERROR(IF($I91="Urban",(VLOOKUP($K91,lookup_urban,M$1,FALSE)*$H91*Coverage!I91),IF($I91="Rural",(VLOOKUP($K91,lookup_rural,M$1,FALSE)*$H91*Coverage!I91),(VLOOKUP($K91,lookup_demography,M$1,FALSE)*$H91*Coverage!I91))),0)</f>
        <v>0</v>
      </c>
      <c r="N91" s="202">
        <f>IFERROR(IF($I91="Urban",(VLOOKUP($K91,lookup_urban,N$1,FALSE)*$H91*Coverage!J91),IF($I91="Rural",(VLOOKUP($K91,lookup_rural,N$1,FALSE)*$H91*Coverage!J91),(VLOOKUP($K91,lookup_demography,N$1,FALSE)*$H91*Coverage!J91))),0)</f>
        <v>0</v>
      </c>
      <c r="O91" s="202">
        <f>IFERROR(IF($I91="Urban",(VLOOKUP($K91,lookup_urban,O$1,FALSE)*$H91*Coverage!K91),IF($I91="Rural",(VLOOKUP($K91,lookup_rural,O$1,FALSE)*$H91*Coverage!K91),(VLOOKUP($K91,lookup_demography,O$1,FALSE)*$H91*Coverage!K91))),0)</f>
        <v>0</v>
      </c>
      <c r="Q91">
        <f>L91*'3. Intervention Details'!$H91</f>
        <v>0</v>
      </c>
      <c r="R91">
        <f>M91*'3. Intervention Details'!$H91</f>
        <v>0</v>
      </c>
      <c r="S91">
        <f>N91*'3. Intervention Details'!$H91</f>
        <v>0</v>
      </c>
      <c r="T91">
        <f>O91*'3. Intervention Details'!$H91</f>
        <v>0</v>
      </c>
      <c r="AA91" s="56" t="str">
        <f>IF('4. Policy Interactive Screen'!F100&lt;&gt;"",'4. Policy Interactive Screen'!F100,"")</f>
        <v/>
      </c>
      <c r="AB91" s="56" t="str">
        <f>IF('4. Policy Interactive Screen'!I100&lt;&gt;"",'4. Policy Interactive Screen'!I100,"")</f>
        <v/>
      </c>
      <c r="AC91" s="56" t="str">
        <f>IF('4. Policy Interactive Screen'!L100&lt;&gt;"",'4. Policy Interactive Screen'!L100,"")</f>
        <v/>
      </c>
      <c r="AD91" s="56" t="str">
        <f>IF('policy interact graph numbers'!AR100&lt;&gt;"",'policy interact graph numbers'!AR100,"")</f>
        <v/>
      </c>
    </row>
    <row r="92" spans="1:30" ht="15" thickBot="1" x14ac:dyDescent="0.45">
      <c r="A92" s="113">
        <v>87</v>
      </c>
      <c r="B92" s="310" t="str">
        <f>IF(Coverage!$B92="","",Coverage!$B92)</f>
        <v/>
      </c>
      <c r="C92" s="34" t="str">
        <f t="shared" si="18"/>
        <v/>
      </c>
      <c r="D92" s="308" t="str">
        <f t="shared" si="13"/>
        <v/>
      </c>
      <c r="E92" s="308" t="str">
        <f t="shared" si="14"/>
        <v/>
      </c>
      <c r="F92" s="308" t="str">
        <f t="shared" si="15"/>
        <v/>
      </c>
      <c r="G92" s="308" t="str">
        <f t="shared" si="16"/>
        <v/>
      </c>
      <c r="H92" s="34" t="str">
        <f t="shared" si="18"/>
        <v/>
      </c>
      <c r="I92" s="34" t="str">
        <f t="shared" si="18"/>
        <v/>
      </c>
      <c r="J92" s="34" t="str">
        <f t="shared" si="18"/>
        <v/>
      </c>
      <c r="K92" s="34" t="str">
        <f t="shared" si="18"/>
        <v/>
      </c>
      <c r="L92" s="202">
        <f>IFERROR(IF($I92="Urban",(VLOOKUP($K92,lookup_urban,L$1,FALSE)*$H92*Coverage!H92),IF($I92="Rural",(VLOOKUP($K92,lookup_rural,L$1,FALSE)*$H92*Coverage!G92),(VLOOKUP($K92,lookup_demography,L$1,FALSE)*$H92*Coverage!G92))),0)</f>
        <v>0</v>
      </c>
      <c r="M92" s="202">
        <f>IFERROR(IF($I92="Urban",(VLOOKUP($K92,lookup_urban,M$1,FALSE)*$H92*Coverage!I92),IF($I92="Rural",(VLOOKUP($K92,lookup_rural,M$1,FALSE)*$H92*Coverage!I92),(VLOOKUP($K92,lookup_demography,M$1,FALSE)*$H92*Coverage!I92))),0)</f>
        <v>0</v>
      </c>
      <c r="N92" s="202">
        <f>IFERROR(IF($I92="Urban",(VLOOKUP($K92,lookup_urban,N$1,FALSE)*$H92*Coverage!J92),IF($I92="Rural",(VLOOKUP($K92,lookup_rural,N$1,FALSE)*$H92*Coverage!J92),(VLOOKUP($K92,lookup_demography,N$1,FALSE)*$H92*Coverage!J92))),0)</f>
        <v>0</v>
      </c>
      <c r="O92" s="202">
        <f>IFERROR(IF($I92="Urban",(VLOOKUP($K92,lookup_urban,O$1,FALSE)*$H92*Coverage!K92),IF($I92="Rural",(VLOOKUP($K92,lookup_rural,O$1,FALSE)*$H92*Coverage!K92),(VLOOKUP($K92,lookup_demography,O$1,FALSE)*$H92*Coverage!K92))),0)</f>
        <v>0</v>
      </c>
      <c r="Q92">
        <f>L92*'3. Intervention Details'!$H92</f>
        <v>0</v>
      </c>
      <c r="R92">
        <f>M92*'3. Intervention Details'!$H92</f>
        <v>0</v>
      </c>
      <c r="S92">
        <f>N92*'3. Intervention Details'!$H92</f>
        <v>0</v>
      </c>
      <c r="T92">
        <f>O92*'3. Intervention Details'!$H92</f>
        <v>0</v>
      </c>
      <c r="AA92" s="56" t="str">
        <f>IF('4. Policy Interactive Screen'!F101&lt;&gt;"",'4. Policy Interactive Screen'!F101,"")</f>
        <v/>
      </c>
      <c r="AB92" s="56" t="str">
        <f>IF('4. Policy Interactive Screen'!I101&lt;&gt;"",'4. Policy Interactive Screen'!I101,"")</f>
        <v/>
      </c>
      <c r="AC92" s="56" t="str">
        <f>IF('4. Policy Interactive Screen'!L101&lt;&gt;"",'4. Policy Interactive Screen'!L101,"")</f>
        <v/>
      </c>
      <c r="AD92" s="56" t="str">
        <f>IF('policy interact graph numbers'!AR101&lt;&gt;"",'policy interact graph numbers'!AR101,"")</f>
        <v/>
      </c>
    </row>
    <row r="93" spans="1:30" ht="15" thickBot="1" x14ac:dyDescent="0.45">
      <c r="A93" s="113">
        <v>88</v>
      </c>
      <c r="B93" s="310" t="str">
        <f>IF(Coverage!$B93="","",Coverage!$B93)</f>
        <v/>
      </c>
      <c r="C93" s="34" t="str">
        <f t="shared" si="18"/>
        <v/>
      </c>
      <c r="D93" s="308" t="str">
        <f t="shared" si="13"/>
        <v/>
      </c>
      <c r="E93" s="308" t="str">
        <f t="shared" si="14"/>
        <v/>
      </c>
      <c r="F93" s="308" t="str">
        <f t="shared" si="15"/>
        <v/>
      </c>
      <c r="G93" s="308" t="str">
        <f t="shared" si="16"/>
        <v/>
      </c>
      <c r="H93" s="34" t="str">
        <f t="shared" si="18"/>
        <v/>
      </c>
      <c r="I93" s="34" t="str">
        <f t="shared" si="18"/>
        <v/>
      </c>
      <c r="J93" s="34" t="str">
        <f t="shared" si="18"/>
        <v/>
      </c>
      <c r="K93" s="34" t="str">
        <f t="shared" si="18"/>
        <v/>
      </c>
      <c r="L93" s="202">
        <f>IFERROR(IF($I93="Urban",(VLOOKUP($K93,lookup_urban,L$1,FALSE)*$H93*Coverage!H93),IF($I93="Rural",(VLOOKUP($K93,lookup_rural,L$1,FALSE)*$H93*Coverage!G93),(VLOOKUP($K93,lookup_demography,L$1,FALSE)*$H93*Coverage!G93))),0)</f>
        <v>0</v>
      </c>
      <c r="M93" s="202">
        <f>IFERROR(IF($I93="Urban",(VLOOKUP($K93,lookup_urban,M$1,FALSE)*$H93*Coverage!I93),IF($I93="Rural",(VLOOKUP($K93,lookup_rural,M$1,FALSE)*$H93*Coverage!I93),(VLOOKUP($K93,lookup_demography,M$1,FALSE)*$H93*Coverage!I93))),0)</f>
        <v>0</v>
      </c>
      <c r="N93" s="202">
        <f>IFERROR(IF($I93="Urban",(VLOOKUP($K93,lookup_urban,N$1,FALSE)*$H93*Coverage!J93),IF($I93="Rural",(VLOOKUP($K93,lookup_rural,N$1,FALSE)*$H93*Coverage!J93),(VLOOKUP($K93,lookup_demography,N$1,FALSE)*$H93*Coverage!J93))),0)</f>
        <v>0</v>
      </c>
      <c r="O93" s="202">
        <f>IFERROR(IF($I93="Urban",(VLOOKUP($K93,lookup_urban,O$1,FALSE)*$H93*Coverage!K93),IF($I93="Rural",(VLOOKUP($K93,lookup_rural,O$1,FALSE)*$H93*Coverage!K93),(VLOOKUP($K93,lookup_demography,O$1,FALSE)*$H93*Coverage!K93))),0)</f>
        <v>0</v>
      </c>
      <c r="Q93">
        <f>L93*'3. Intervention Details'!$H93</f>
        <v>0</v>
      </c>
      <c r="R93">
        <f>M93*'3. Intervention Details'!$H93</f>
        <v>0</v>
      </c>
      <c r="S93">
        <f>N93*'3. Intervention Details'!$H93</f>
        <v>0</v>
      </c>
      <c r="T93">
        <f>O93*'3. Intervention Details'!$H93</f>
        <v>0</v>
      </c>
      <c r="AA93" s="56" t="str">
        <f>IF('4. Policy Interactive Screen'!F102&lt;&gt;"",'4. Policy Interactive Screen'!F102,"")</f>
        <v/>
      </c>
      <c r="AB93" s="56" t="str">
        <f>IF('4. Policy Interactive Screen'!I102&lt;&gt;"",'4. Policy Interactive Screen'!I102,"")</f>
        <v/>
      </c>
      <c r="AC93" s="56" t="str">
        <f>IF('4. Policy Interactive Screen'!L102&lt;&gt;"",'4. Policy Interactive Screen'!L102,"")</f>
        <v/>
      </c>
      <c r="AD93" s="56" t="str">
        <f>IF('policy interact graph numbers'!AR102&lt;&gt;"",'policy interact graph numbers'!AR102,"")</f>
        <v/>
      </c>
    </row>
    <row r="94" spans="1:30" ht="15" thickBot="1" x14ac:dyDescent="0.45">
      <c r="A94" s="113">
        <v>89</v>
      </c>
      <c r="B94" s="310" t="str">
        <f>IF(Coverage!$B94="","",Coverage!$B94)</f>
        <v/>
      </c>
      <c r="C94" s="34" t="str">
        <f t="shared" si="18"/>
        <v/>
      </c>
      <c r="D94" s="308" t="str">
        <f t="shared" si="13"/>
        <v/>
      </c>
      <c r="E94" s="308" t="str">
        <f t="shared" si="14"/>
        <v/>
      </c>
      <c r="F94" s="308" t="str">
        <f t="shared" si="15"/>
        <v/>
      </c>
      <c r="G94" s="308" t="str">
        <f t="shared" si="16"/>
        <v/>
      </c>
      <c r="H94" s="34" t="str">
        <f t="shared" si="18"/>
        <v/>
      </c>
      <c r="I94" s="34" t="str">
        <f t="shared" si="18"/>
        <v/>
      </c>
      <c r="J94" s="34" t="str">
        <f t="shared" si="18"/>
        <v/>
      </c>
      <c r="K94" s="34" t="str">
        <f t="shared" si="18"/>
        <v/>
      </c>
      <c r="L94" s="202">
        <f>IFERROR(IF($I94="Urban",(VLOOKUP($K94,lookup_urban,L$1,FALSE)*$H94*Coverage!H94),IF($I94="Rural",(VLOOKUP($K94,lookup_rural,L$1,FALSE)*$H94*Coverage!G94),(VLOOKUP($K94,lookup_demography,L$1,FALSE)*$H94*Coverage!G94))),0)</f>
        <v>0</v>
      </c>
      <c r="M94" s="202">
        <f>IFERROR(IF($I94="Urban",(VLOOKUP($K94,lookup_urban,M$1,FALSE)*$H94*Coverage!I94),IF($I94="Rural",(VLOOKUP($K94,lookup_rural,M$1,FALSE)*$H94*Coverage!I94),(VLOOKUP($K94,lookup_demography,M$1,FALSE)*$H94*Coverage!I94))),0)</f>
        <v>0</v>
      </c>
      <c r="N94" s="202">
        <f>IFERROR(IF($I94="Urban",(VLOOKUP($K94,lookup_urban,N$1,FALSE)*$H94*Coverage!J94),IF($I94="Rural",(VLOOKUP($K94,lookup_rural,N$1,FALSE)*$H94*Coverage!J94),(VLOOKUP($K94,lookup_demography,N$1,FALSE)*$H94*Coverage!J94))),0)</f>
        <v>0</v>
      </c>
      <c r="O94" s="202">
        <f>IFERROR(IF($I94="Urban",(VLOOKUP($K94,lookup_urban,O$1,FALSE)*$H94*Coverage!K94),IF($I94="Rural",(VLOOKUP($K94,lookup_rural,O$1,FALSE)*$H94*Coverage!K94),(VLOOKUP($K94,lookup_demography,O$1,FALSE)*$H94*Coverage!K94))),0)</f>
        <v>0</v>
      </c>
      <c r="Q94">
        <f>L94*'3. Intervention Details'!$H94</f>
        <v>0</v>
      </c>
      <c r="R94">
        <f>M94*'3. Intervention Details'!$H94</f>
        <v>0</v>
      </c>
      <c r="S94">
        <f>N94*'3. Intervention Details'!$H94</f>
        <v>0</v>
      </c>
      <c r="T94">
        <f>O94*'3. Intervention Details'!$H94</f>
        <v>0</v>
      </c>
      <c r="AA94" s="56" t="str">
        <f>IF('4. Policy Interactive Screen'!F103&lt;&gt;"",'4. Policy Interactive Screen'!F103,"")</f>
        <v/>
      </c>
      <c r="AB94" s="56" t="str">
        <f>IF('4. Policy Interactive Screen'!I103&lt;&gt;"",'4. Policy Interactive Screen'!I103,"")</f>
        <v/>
      </c>
      <c r="AC94" s="56" t="str">
        <f>IF('4. Policy Interactive Screen'!L103&lt;&gt;"",'4. Policy Interactive Screen'!L103,"")</f>
        <v/>
      </c>
      <c r="AD94" s="56" t="str">
        <f>IF('policy interact graph numbers'!AR103&lt;&gt;"",'policy interact graph numbers'!AR103,"")</f>
        <v/>
      </c>
    </row>
    <row r="95" spans="1:30" ht="15" thickBot="1" x14ac:dyDescent="0.45">
      <c r="A95" s="113">
        <v>90</v>
      </c>
      <c r="B95" s="310" t="str">
        <f>IF(Coverage!$B105="","",Coverage!$B105)</f>
        <v/>
      </c>
      <c r="C95" s="34" t="str">
        <f t="shared" si="18"/>
        <v/>
      </c>
      <c r="D95" s="308" t="str">
        <f t="shared" si="13"/>
        <v/>
      </c>
      <c r="E95" s="308" t="str">
        <f t="shared" si="14"/>
        <v/>
      </c>
      <c r="F95" s="308" t="str">
        <f t="shared" si="15"/>
        <v/>
      </c>
      <c r="G95" s="308" t="str">
        <f t="shared" si="16"/>
        <v/>
      </c>
      <c r="H95" s="34" t="str">
        <f t="shared" si="18"/>
        <v/>
      </c>
      <c r="I95" s="34" t="str">
        <f t="shared" si="18"/>
        <v/>
      </c>
      <c r="J95" s="34" t="str">
        <f t="shared" si="18"/>
        <v/>
      </c>
      <c r="K95" s="34" t="str">
        <f t="shared" si="18"/>
        <v/>
      </c>
      <c r="L95" s="202">
        <f>IFERROR(IF($I95="Urban",(VLOOKUP($K95,lookup_urban,L$1,FALSE)*$H95*Coverage!H95),IF($I95="Rural",(VLOOKUP($K95,lookup_rural,L$1,FALSE)*$H95*Coverage!G95),(VLOOKUP($K95,lookup_demography,L$1,FALSE)*$H95*Coverage!G95))),0)</f>
        <v>0</v>
      </c>
      <c r="M95" s="202">
        <f>IFERROR(IF($I95="Urban",(VLOOKUP($K95,lookup_urban,M$1,FALSE)*$H95*Coverage!I95),IF($I95="Rural",(VLOOKUP($K95,lookup_rural,M$1,FALSE)*$H95*Coverage!I95),(VLOOKUP($K95,lookup_demography,M$1,FALSE)*$H95*Coverage!I95))),0)</f>
        <v>0</v>
      </c>
      <c r="N95" s="202">
        <f>IFERROR(IF($I95="Urban",(VLOOKUP($K95,lookup_urban,N$1,FALSE)*$H95*Coverage!J95),IF($I95="Rural",(VLOOKUP($K95,lookup_rural,N$1,FALSE)*$H95*Coverage!J95),(VLOOKUP($K95,lookup_demography,N$1,FALSE)*$H95*Coverage!J95))),0)</f>
        <v>0</v>
      </c>
      <c r="O95" s="202">
        <f>IFERROR(IF($I95="Urban",(VLOOKUP($K95,lookup_urban,O$1,FALSE)*$H95*Coverage!K95),IF($I95="Rural",(VLOOKUP($K95,lookup_rural,O$1,FALSE)*$H95*Coverage!K95),(VLOOKUP($K95,lookup_demography,O$1,FALSE)*$H95*Coverage!K95))),0)</f>
        <v>0</v>
      </c>
      <c r="Q95">
        <f>L95*'3. Intervention Details'!$H95</f>
        <v>0</v>
      </c>
      <c r="R95">
        <f>M95*'3. Intervention Details'!$H95</f>
        <v>0</v>
      </c>
      <c r="S95">
        <f>N95*'3. Intervention Details'!$H95</f>
        <v>0</v>
      </c>
      <c r="T95">
        <f>O95*'3. Intervention Details'!$H95</f>
        <v>0</v>
      </c>
      <c r="AA95" s="56" t="str">
        <f>IF('4. Policy Interactive Screen'!F104&lt;&gt;"",'4. Policy Interactive Screen'!F104,"")</f>
        <v/>
      </c>
      <c r="AB95" s="56" t="str">
        <f>IF('4. Policy Interactive Screen'!I104&lt;&gt;"",'4. Policy Interactive Screen'!I104,"")</f>
        <v/>
      </c>
      <c r="AC95" s="56" t="str">
        <f>IF('4. Policy Interactive Screen'!L104&lt;&gt;"",'4. Policy Interactive Screen'!L104,"")</f>
        <v/>
      </c>
      <c r="AD95" s="56" t="str">
        <f>IF('policy interact graph numbers'!AR104&lt;&gt;"",'policy interact graph numbers'!AR104,"")</f>
        <v/>
      </c>
    </row>
    <row r="96" spans="1:30" ht="15" thickBot="1" x14ac:dyDescent="0.45">
      <c r="A96" s="113">
        <v>91</v>
      </c>
      <c r="B96" s="310" t="str">
        <f>IF(Coverage!$B106="","",Coverage!$B106)</f>
        <v/>
      </c>
      <c r="C96" s="34" t="str">
        <f t="shared" ref="C96:K105" si="19">IFERROR((VLOOKUP($B96,lookup_masterlist,C$1,FALSE)),"")</f>
        <v/>
      </c>
      <c r="D96" s="308" t="str">
        <f t="shared" si="13"/>
        <v/>
      </c>
      <c r="E96" s="308" t="str">
        <f t="shared" si="14"/>
        <v/>
      </c>
      <c r="F96" s="308" t="str">
        <f t="shared" si="15"/>
        <v/>
      </c>
      <c r="G96" s="308" t="str">
        <f t="shared" si="16"/>
        <v/>
      </c>
      <c r="H96" s="34" t="str">
        <f t="shared" si="19"/>
        <v/>
      </c>
      <c r="I96" s="34" t="str">
        <f t="shared" si="18"/>
        <v/>
      </c>
      <c r="J96" s="34" t="str">
        <f t="shared" si="19"/>
        <v/>
      </c>
      <c r="K96" s="34" t="str">
        <f t="shared" si="19"/>
        <v/>
      </c>
      <c r="L96" s="202">
        <f>IFERROR(IF($I96="Urban",(VLOOKUP($K96,lookup_urban,L$1,FALSE)*$H96*Coverage!H96),IF($I96="Rural",(VLOOKUP($K96,lookup_rural,L$1,FALSE)*$H96*Coverage!G96),(VLOOKUP($K96,lookup_demography,L$1,FALSE)*$H96*Coverage!G96))),0)</f>
        <v>0</v>
      </c>
      <c r="M96" s="202">
        <f>IFERROR(IF($I96="Urban",(VLOOKUP($K96,lookup_urban,M$1,FALSE)*$H96*Coverage!I96),IF($I96="Rural",(VLOOKUP($K96,lookup_rural,M$1,FALSE)*$H96*Coverage!I96),(VLOOKUP($K96,lookup_demography,M$1,FALSE)*$H96*Coverage!I96))),0)</f>
        <v>0</v>
      </c>
      <c r="N96" s="202">
        <f>IFERROR(IF($I96="Urban",(VLOOKUP($K96,lookup_urban,N$1,FALSE)*$H96*Coverage!J96),IF($I96="Rural",(VLOOKUP($K96,lookup_rural,N$1,FALSE)*$H96*Coverage!J96),(VLOOKUP($K96,lookup_demography,N$1,FALSE)*$H96*Coverage!J96))),0)</f>
        <v>0</v>
      </c>
      <c r="O96" s="202">
        <f>IFERROR(IF($I96="Urban",(VLOOKUP($K96,lookup_urban,O$1,FALSE)*$H96*Coverage!K96),IF($I96="Rural",(VLOOKUP($K96,lookup_rural,O$1,FALSE)*$H96*Coverage!K96),(VLOOKUP($K96,lookup_demography,O$1,FALSE)*$H96*Coverage!K96))),0)</f>
        <v>0</v>
      </c>
      <c r="Q96">
        <f>L96*'3. Intervention Details'!$H96</f>
        <v>0</v>
      </c>
      <c r="R96">
        <f>M96*'3. Intervention Details'!$H96</f>
        <v>0</v>
      </c>
      <c r="S96">
        <f>N96*'3. Intervention Details'!$H96</f>
        <v>0</v>
      </c>
      <c r="T96">
        <f>O96*'3. Intervention Details'!$H96</f>
        <v>0</v>
      </c>
      <c r="AA96" s="56" t="str">
        <f>IF('4. Policy Interactive Screen'!F105&lt;&gt;"",'4. Policy Interactive Screen'!F105,"")</f>
        <v/>
      </c>
      <c r="AB96" s="56" t="str">
        <f>IF('4. Policy Interactive Screen'!I105&lt;&gt;"",'4. Policy Interactive Screen'!I105,"")</f>
        <v/>
      </c>
      <c r="AC96" s="56" t="str">
        <f>IF('4. Policy Interactive Screen'!L105&lt;&gt;"",'4. Policy Interactive Screen'!L105,"")</f>
        <v/>
      </c>
      <c r="AD96" s="56" t="str">
        <f>IF('policy interact graph numbers'!AR105&lt;&gt;"",'policy interact graph numbers'!AR105,"")</f>
        <v/>
      </c>
    </row>
    <row r="97" spans="1:30" ht="15" thickBot="1" x14ac:dyDescent="0.45">
      <c r="A97" s="113">
        <v>92</v>
      </c>
      <c r="B97" s="310" t="str">
        <f>IF(Coverage!$B107="","",Coverage!$B107)</f>
        <v/>
      </c>
      <c r="C97" s="34" t="str">
        <f t="shared" si="19"/>
        <v/>
      </c>
      <c r="D97" s="308" t="str">
        <f t="shared" si="13"/>
        <v/>
      </c>
      <c r="E97" s="308" t="str">
        <f t="shared" si="14"/>
        <v/>
      </c>
      <c r="F97" s="308" t="str">
        <f t="shared" si="15"/>
        <v/>
      </c>
      <c r="G97" s="308" t="str">
        <f t="shared" si="16"/>
        <v/>
      </c>
      <c r="H97" s="34" t="str">
        <f t="shared" si="19"/>
        <v/>
      </c>
      <c r="I97" s="34" t="str">
        <f t="shared" si="18"/>
        <v/>
      </c>
      <c r="J97" s="34" t="str">
        <f t="shared" si="19"/>
        <v/>
      </c>
      <c r="K97" s="34" t="str">
        <f t="shared" si="19"/>
        <v/>
      </c>
      <c r="L97" s="202">
        <f>IFERROR(IF($I97="Urban",(VLOOKUP($K97,lookup_urban,L$1,FALSE)*$H97*Coverage!H97),IF($I97="Rural",(VLOOKUP($K97,lookup_rural,L$1,FALSE)*$H97*Coverage!G97),(VLOOKUP($K97,lookup_demography,L$1,FALSE)*$H97*Coverage!G97))),0)</f>
        <v>0</v>
      </c>
      <c r="M97" s="202">
        <f>IFERROR(IF($I97="Urban",(VLOOKUP($K97,lookup_urban,M$1,FALSE)*$H97*Coverage!I97),IF($I97="Rural",(VLOOKUP($K97,lookup_rural,M$1,FALSE)*$H97*Coverage!I97),(VLOOKUP($K97,lookup_demography,M$1,FALSE)*$H97*Coverage!I97))),0)</f>
        <v>0</v>
      </c>
      <c r="N97" s="202">
        <f>IFERROR(IF($I97="Urban",(VLOOKUP($K97,lookup_urban,N$1,FALSE)*$H97*Coverage!J97),IF($I97="Rural",(VLOOKUP($K97,lookup_rural,N$1,FALSE)*$H97*Coverage!J97),(VLOOKUP($K97,lookup_demography,N$1,FALSE)*$H97*Coverage!J97))),0)</f>
        <v>0</v>
      </c>
      <c r="O97" s="202">
        <f>IFERROR(IF($I97="Urban",(VLOOKUP($K97,lookup_urban,O$1,FALSE)*$H97*Coverage!K97),IF($I97="Rural",(VLOOKUP($K97,lookup_rural,O$1,FALSE)*$H97*Coverage!K97),(VLOOKUP($K97,lookup_demography,O$1,FALSE)*$H97*Coverage!K97))),0)</f>
        <v>0</v>
      </c>
      <c r="Q97">
        <f>L97*'3. Intervention Details'!$H97</f>
        <v>0</v>
      </c>
      <c r="R97">
        <f>M97*'3. Intervention Details'!$H97</f>
        <v>0</v>
      </c>
      <c r="S97">
        <f>N97*'3. Intervention Details'!$H97</f>
        <v>0</v>
      </c>
      <c r="T97">
        <f>O97*'3. Intervention Details'!$H97</f>
        <v>0</v>
      </c>
      <c r="AA97" s="56" t="str">
        <f>IF('4. Policy Interactive Screen'!F106&lt;&gt;"",'4. Policy Interactive Screen'!F106,"")</f>
        <v/>
      </c>
      <c r="AB97" s="56" t="str">
        <f>IF('4. Policy Interactive Screen'!I106&lt;&gt;"",'4. Policy Interactive Screen'!I106,"")</f>
        <v/>
      </c>
      <c r="AC97" s="56" t="str">
        <f>IF('4. Policy Interactive Screen'!L106&lt;&gt;"",'4. Policy Interactive Screen'!L106,"")</f>
        <v/>
      </c>
      <c r="AD97" s="56" t="str">
        <f>IF('policy interact graph numbers'!AR106&lt;&gt;"",'policy interact graph numbers'!AR106,"")</f>
        <v/>
      </c>
    </row>
    <row r="98" spans="1:30" ht="15" thickBot="1" x14ac:dyDescent="0.45">
      <c r="A98" s="113">
        <v>93</v>
      </c>
      <c r="B98" s="310" t="str">
        <f>IF(Coverage!$B108="","",Coverage!$B108)</f>
        <v/>
      </c>
      <c r="C98" s="34" t="str">
        <f t="shared" si="19"/>
        <v/>
      </c>
      <c r="D98" s="308" t="str">
        <f t="shared" si="13"/>
        <v/>
      </c>
      <c r="E98" s="308" t="str">
        <f t="shared" si="14"/>
        <v/>
      </c>
      <c r="F98" s="308" t="str">
        <f t="shared" si="15"/>
        <v/>
      </c>
      <c r="G98" s="308" t="str">
        <f t="shared" si="16"/>
        <v/>
      </c>
      <c r="H98" s="34" t="str">
        <f t="shared" si="19"/>
        <v/>
      </c>
      <c r="I98" s="34" t="str">
        <f t="shared" si="18"/>
        <v/>
      </c>
      <c r="J98" s="34" t="str">
        <f t="shared" si="19"/>
        <v/>
      </c>
      <c r="K98" s="34" t="str">
        <f t="shared" si="19"/>
        <v/>
      </c>
      <c r="L98" s="202">
        <f>IFERROR(IF($I98="Urban",(VLOOKUP($K98,lookup_urban,L$1,FALSE)*$H98*Coverage!H98),IF($I98="Rural",(VLOOKUP($K98,lookup_rural,L$1,FALSE)*$H98*Coverage!G98),(VLOOKUP($K98,lookup_demography,L$1,FALSE)*$H98*Coverage!G98))),0)</f>
        <v>0</v>
      </c>
      <c r="M98" s="202">
        <f>IFERROR(IF($I98="Urban",(VLOOKUP($K98,lookup_urban,M$1,FALSE)*$H98*Coverage!I98),IF($I98="Rural",(VLOOKUP($K98,lookup_rural,M$1,FALSE)*$H98*Coverage!I98),(VLOOKUP($K98,lookup_demography,M$1,FALSE)*$H98*Coverage!I98))),0)</f>
        <v>0</v>
      </c>
      <c r="N98" s="202">
        <f>IFERROR(IF($I98="Urban",(VLOOKUP($K98,lookup_urban,N$1,FALSE)*$H98*Coverage!J98),IF($I98="Rural",(VLOOKUP($K98,lookup_rural,N$1,FALSE)*$H98*Coverage!J98),(VLOOKUP($K98,lookup_demography,N$1,FALSE)*$H98*Coverage!J98))),0)</f>
        <v>0</v>
      </c>
      <c r="O98" s="202">
        <f>IFERROR(IF($I98="Urban",(VLOOKUP($K98,lookup_urban,O$1,FALSE)*$H98*Coverage!K98),IF($I98="Rural",(VLOOKUP($K98,lookup_rural,O$1,FALSE)*$H98*Coverage!K98),(VLOOKUP($K98,lookup_demography,O$1,FALSE)*$H98*Coverage!K98))),0)</f>
        <v>0</v>
      </c>
      <c r="Q98">
        <f>L98*'3. Intervention Details'!$H98</f>
        <v>0</v>
      </c>
      <c r="R98">
        <f>M98*'3. Intervention Details'!$H98</f>
        <v>0</v>
      </c>
      <c r="S98">
        <f>N98*'3. Intervention Details'!$H98</f>
        <v>0</v>
      </c>
      <c r="T98">
        <f>O98*'3. Intervention Details'!$H98</f>
        <v>0</v>
      </c>
      <c r="AA98" s="56" t="str">
        <f>IF('4. Policy Interactive Screen'!F107&lt;&gt;"",'4. Policy Interactive Screen'!F107,"")</f>
        <v/>
      </c>
      <c r="AB98" s="56" t="str">
        <f>IF('4. Policy Interactive Screen'!I107&lt;&gt;"",'4. Policy Interactive Screen'!I107,"")</f>
        <v/>
      </c>
      <c r="AC98" s="56" t="str">
        <f>IF('4. Policy Interactive Screen'!L107&lt;&gt;"",'4. Policy Interactive Screen'!L107,"")</f>
        <v/>
      </c>
      <c r="AD98" s="56" t="str">
        <f>IF('policy interact graph numbers'!AR107&lt;&gt;"",'policy interact graph numbers'!AR107,"")</f>
        <v/>
      </c>
    </row>
    <row r="99" spans="1:30" ht="15" thickBot="1" x14ac:dyDescent="0.45">
      <c r="A99" s="113">
        <v>94</v>
      </c>
      <c r="B99" s="310" t="str">
        <f>IF(Coverage!$B109="","",Coverage!$B109)</f>
        <v/>
      </c>
      <c r="C99" s="34" t="str">
        <f t="shared" si="19"/>
        <v/>
      </c>
      <c r="D99" s="308" t="str">
        <f t="shared" si="13"/>
        <v/>
      </c>
      <c r="E99" s="308" t="str">
        <f t="shared" si="14"/>
        <v/>
      </c>
      <c r="F99" s="308" t="str">
        <f t="shared" si="15"/>
        <v/>
      </c>
      <c r="G99" s="308" t="str">
        <f t="shared" si="16"/>
        <v/>
      </c>
      <c r="H99" s="34" t="str">
        <f t="shared" si="19"/>
        <v/>
      </c>
      <c r="I99" s="34" t="str">
        <f t="shared" si="18"/>
        <v/>
      </c>
      <c r="J99" s="34" t="str">
        <f t="shared" si="19"/>
        <v/>
      </c>
      <c r="K99" s="34" t="str">
        <f t="shared" si="19"/>
        <v/>
      </c>
      <c r="L99" s="202">
        <f>IFERROR(IF($I99="Urban",(VLOOKUP($K99,lookup_urban,L$1,FALSE)*$H99*Coverage!H99),IF($I99="Rural",(VLOOKUP($K99,lookup_rural,L$1,FALSE)*$H99*Coverage!G99),(VLOOKUP($K99,lookup_demography,L$1,FALSE)*$H99*Coverage!G99))),0)</f>
        <v>0</v>
      </c>
      <c r="M99" s="202">
        <f>IFERROR(IF($I99="Urban",(VLOOKUP($K99,lookup_urban,M$1,FALSE)*$H99*Coverage!I99),IF($I99="Rural",(VLOOKUP($K99,lookup_rural,M$1,FALSE)*$H99*Coverage!I99),(VLOOKUP($K99,lookup_demography,M$1,FALSE)*$H99*Coverage!I99))),0)</f>
        <v>0</v>
      </c>
      <c r="N99" s="202">
        <f>IFERROR(IF($I99="Urban",(VLOOKUP($K99,lookup_urban,N$1,FALSE)*$H99*Coverage!J99),IF($I99="Rural",(VLOOKUP($K99,lookup_rural,N$1,FALSE)*$H99*Coverage!J99),(VLOOKUP($K99,lookup_demography,N$1,FALSE)*$H99*Coverage!J99))),0)</f>
        <v>0</v>
      </c>
      <c r="O99" s="202">
        <f>IFERROR(IF($I99="Urban",(VLOOKUP($K99,lookup_urban,O$1,FALSE)*$H99*Coverage!K99),IF($I99="Rural",(VLOOKUP($K99,lookup_rural,O$1,FALSE)*$H99*Coverage!K99),(VLOOKUP($K99,lookup_demography,O$1,FALSE)*$H99*Coverage!K99))),0)</f>
        <v>0</v>
      </c>
      <c r="Q99">
        <f>L99*'3. Intervention Details'!$H99</f>
        <v>0</v>
      </c>
      <c r="R99">
        <f>M99*'3. Intervention Details'!$H99</f>
        <v>0</v>
      </c>
      <c r="S99">
        <f>N99*'3. Intervention Details'!$H99</f>
        <v>0</v>
      </c>
      <c r="T99">
        <f>O99*'3. Intervention Details'!$H99</f>
        <v>0</v>
      </c>
      <c r="AA99" s="56" t="str">
        <f>IF('4. Policy Interactive Screen'!F108&lt;&gt;"",'4. Policy Interactive Screen'!F108,"")</f>
        <v/>
      </c>
      <c r="AB99" s="56" t="str">
        <f>IF('4. Policy Interactive Screen'!I108&lt;&gt;"",'4. Policy Interactive Screen'!I108,"")</f>
        <v/>
      </c>
      <c r="AC99" s="56" t="str">
        <f>IF('4. Policy Interactive Screen'!L108&lt;&gt;"",'4. Policy Interactive Screen'!L108,"")</f>
        <v/>
      </c>
      <c r="AD99" s="56" t="str">
        <f>IF('policy interact graph numbers'!AR108&lt;&gt;"",'policy interact graph numbers'!AR108,"")</f>
        <v/>
      </c>
    </row>
    <row r="100" spans="1:30" ht="15" thickBot="1" x14ac:dyDescent="0.45">
      <c r="A100" s="113">
        <v>95</v>
      </c>
      <c r="B100" s="310" t="str">
        <f>IF(Coverage!$B110="","",Coverage!$B110)</f>
        <v/>
      </c>
      <c r="C100" s="34" t="str">
        <f t="shared" si="19"/>
        <v/>
      </c>
      <c r="D100" s="308" t="str">
        <f t="shared" si="13"/>
        <v/>
      </c>
      <c r="E100" s="308" t="str">
        <f t="shared" si="14"/>
        <v/>
      </c>
      <c r="F100" s="308" t="str">
        <f t="shared" si="15"/>
        <v/>
      </c>
      <c r="G100" s="308" t="str">
        <f t="shared" si="16"/>
        <v/>
      </c>
      <c r="H100" s="34" t="str">
        <f t="shared" si="19"/>
        <v/>
      </c>
      <c r="I100" s="34" t="str">
        <f t="shared" si="18"/>
        <v/>
      </c>
      <c r="J100" s="34" t="str">
        <f t="shared" si="19"/>
        <v/>
      </c>
      <c r="K100" s="34" t="str">
        <f t="shared" si="19"/>
        <v/>
      </c>
      <c r="L100" s="202">
        <f>IFERROR(IF($I100="Urban",(VLOOKUP($K100,lookup_urban,L$1,FALSE)*$H100*Coverage!H100),IF($I100="Rural",(VLOOKUP($K100,lookup_rural,L$1,FALSE)*$H100*Coverage!G100),(VLOOKUP($K100,lookup_demography,L$1,FALSE)*$H100*Coverage!G100))),0)</f>
        <v>0</v>
      </c>
      <c r="M100" s="202">
        <f>IFERROR(IF($I100="Urban",(VLOOKUP($K100,lookup_urban,M$1,FALSE)*$H100*Coverage!I100),IF($I100="Rural",(VLOOKUP($K100,lookup_rural,M$1,FALSE)*$H100*Coverage!I100),(VLOOKUP($K100,lookup_demography,M$1,FALSE)*$H100*Coverage!I100))),0)</f>
        <v>0</v>
      </c>
      <c r="N100" s="202">
        <f>IFERROR(IF($I100="Urban",(VLOOKUP($K100,lookup_urban,N$1,FALSE)*$H100*Coverage!J100),IF($I100="Rural",(VLOOKUP($K100,lookup_rural,N$1,FALSE)*$H100*Coverage!J100),(VLOOKUP($K100,lookup_demography,N$1,FALSE)*$H100*Coverage!J100))),0)</f>
        <v>0</v>
      </c>
      <c r="O100" s="202">
        <f>IFERROR(IF($I100="Urban",(VLOOKUP($K100,lookup_urban,O$1,FALSE)*$H100*Coverage!K100),IF($I100="Rural",(VLOOKUP($K100,lookup_rural,O$1,FALSE)*$H100*Coverage!K100),(VLOOKUP($K100,lookup_demography,O$1,FALSE)*$H100*Coverage!K100))),0)</f>
        <v>0</v>
      </c>
      <c r="Q100">
        <f>L100*'3. Intervention Details'!$H100</f>
        <v>0</v>
      </c>
      <c r="R100">
        <f>M100*'3. Intervention Details'!$H100</f>
        <v>0</v>
      </c>
      <c r="S100">
        <f>N100*'3. Intervention Details'!$H100</f>
        <v>0</v>
      </c>
      <c r="T100">
        <f>O100*'3. Intervention Details'!$H100</f>
        <v>0</v>
      </c>
      <c r="AA100" s="56" t="str">
        <f>IF('4. Policy Interactive Screen'!F109&lt;&gt;"",'4. Policy Interactive Screen'!F109,"")</f>
        <v/>
      </c>
      <c r="AB100" s="56" t="str">
        <f>IF('4. Policy Interactive Screen'!I109&lt;&gt;"",'4. Policy Interactive Screen'!I109,"")</f>
        <v/>
      </c>
      <c r="AC100" s="56" t="str">
        <f>IF('4. Policy Interactive Screen'!L109&lt;&gt;"",'4. Policy Interactive Screen'!L109,"")</f>
        <v/>
      </c>
      <c r="AD100" s="56" t="str">
        <f>IF('policy interact graph numbers'!AR109&lt;&gt;"",'policy interact graph numbers'!AR109,"")</f>
        <v/>
      </c>
    </row>
    <row r="101" spans="1:30" ht="15" thickBot="1" x14ac:dyDescent="0.45">
      <c r="A101" s="113">
        <v>96</v>
      </c>
      <c r="B101" s="310" t="str">
        <f>IF(Coverage!$B111="","",Coverage!$B111)</f>
        <v/>
      </c>
      <c r="C101" s="34" t="str">
        <f t="shared" si="19"/>
        <v/>
      </c>
      <c r="D101" s="308" t="str">
        <f t="shared" si="13"/>
        <v/>
      </c>
      <c r="E101" s="308" t="str">
        <f t="shared" si="14"/>
        <v/>
      </c>
      <c r="F101" s="308" t="str">
        <f t="shared" si="15"/>
        <v/>
      </c>
      <c r="G101" s="308" t="str">
        <f t="shared" si="16"/>
        <v/>
      </c>
      <c r="H101" s="34" t="str">
        <f t="shared" si="19"/>
        <v/>
      </c>
      <c r="I101" s="34" t="str">
        <f t="shared" si="18"/>
        <v/>
      </c>
      <c r="J101" s="34" t="str">
        <f t="shared" si="19"/>
        <v/>
      </c>
      <c r="K101" s="34" t="str">
        <f t="shared" si="19"/>
        <v/>
      </c>
      <c r="L101" s="202">
        <f>IFERROR(IF($I101="Urban",(VLOOKUP($K101,lookup_urban,L$1,FALSE)*$H101*Coverage!H101),IF($I101="Rural",(VLOOKUP($K101,lookup_rural,L$1,FALSE)*$H101*Coverage!G101),(VLOOKUP($K101,lookup_demography,L$1,FALSE)*$H101*Coverage!G101))),0)</f>
        <v>0</v>
      </c>
      <c r="M101" s="202">
        <f>IFERROR(IF($I101="Urban",(VLOOKUP($K101,lookup_urban,M$1,FALSE)*$H101*Coverage!I101),IF($I101="Rural",(VLOOKUP($K101,lookup_rural,M$1,FALSE)*$H101*Coverage!I101),(VLOOKUP($K101,lookup_demography,M$1,FALSE)*$H101*Coverage!I101))),0)</f>
        <v>0</v>
      </c>
      <c r="N101" s="202">
        <f>IFERROR(IF($I101="Urban",(VLOOKUP($K101,lookup_urban,N$1,FALSE)*$H101*Coverage!J101),IF($I101="Rural",(VLOOKUP($K101,lookup_rural,N$1,FALSE)*$H101*Coverage!J101),(VLOOKUP($K101,lookup_demography,N$1,FALSE)*$H101*Coverage!J101))),0)</f>
        <v>0</v>
      </c>
      <c r="O101" s="202">
        <f>IFERROR(IF($I101="Urban",(VLOOKUP($K101,lookup_urban,O$1,FALSE)*$H101*Coverage!K101),IF($I101="Rural",(VLOOKUP($K101,lookup_rural,O$1,FALSE)*$H101*Coverage!K101),(VLOOKUP($K101,lookup_demography,O$1,FALSE)*$H101*Coverage!K101))),0)</f>
        <v>0</v>
      </c>
      <c r="Q101">
        <f>L101*'3. Intervention Details'!$H101</f>
        <v>0</v>
      </c>
      <c r="R101">
        <f>M101*'3. Intervention Details'!$H101</f>
        <v>0</v>
      </c>
      <c r="S101">
        <f>N101*'3. Intervention Details'!$H101</f>
        <v>0</v>
      </c>
      <c r="T101">
        <f>O101*'3. Intervention Details'!$H101</f>
        <v>0</v>
      </c>
      <c r="AA101" s="56" t="str">
        <f>IF('4. Policy Interactive Screen'!F110&lt;&gt;"",'4. Policy Interactive Screen'!F110,"")</f>
        <v/>
      </c>
      <c r="AB101" s="56" t="str">
        <f>IF('4. Policy Interactive Screen'!I110&lt;&gt;"",'4. Policy Interactive Screen'!I110,"")</f>
        <v/>
      </c>
      <c r="AC101" s="56" t="str">
        <f>IF('4. Policy Interactive Screen'!L110&lt;&gt;"",'4. Policy Interactive Screen'!L110,"")</f>
        <v/>
      </c>
      <c r="AD101" s="56" t="str">
        <f>IF('policy interact graph numbers'!AR110&lt;&gt;"",'policy interact graph numbers'!AR110,"")</f>
        <v/>
      </c>
    </row>
    <row r="102" spans="1:30" ht="15" thickBot="1" x14ac:dyDescent="0.45">
      <c r="A102" s="113">
        <v>97</v>
      </c>
      <c r="B102" s="310" t="str">
        <f>IF(Coverage!$B112="","",Coverage!$B112)</f>
        <v/>
      </c>
      <c r="C102" s="34" t="str">
        <f t="shared" si="19"/>
        <v/>
      </c>
      <c r="D102" s="308" t="str">
        <f t="shared" si="13"/>
        <v/>
      </c>
      <c r="E102" s="308" t="str">
        <f t="shared" si="14"/>
        <v/>
      </c>
      <c r="F102" s="308" t="str">
        <f t="shared" si="15"/>
        <v/>
      </c>
      <c r="G102" s="308" t="str">
        <f t="shared" si="16"/>
        <v/>
      </c>
      <c r="H102" s="34" t="str">
        <f t="shared" si="19"/>
        <v/>
      </c>
      <c r="I102" s="34" t="str">
        <f t="shared" si="19"/>
        <v/>
      </c>
      <c r="J102" s="34" t="str">
        <f t="shared" si="19"/>
        <v/>
      </c>
      <c r="K102" s="34" t="str">
        <f t="shared" si="19"/>
        <v/>
      </c>
      <c r="L102" s="202">
        <f>IFERROR(IF($I102="Urban",(VLOOKUP($K102,lookup_urban,L$1,FALSE)*$H102*Coverage!H102),IF($I102="Rural",(VLOOKUP($K102,lookup_rural,L$1,FALSE)*$H102*Coverage!G102),(VLOOKUP($K102,lookup_demography,L$1,FALSE)*$H102*Coverage!G102))),0)</f>
        <v>0</v>
      </c>
      <c r="M102" s="202">
        <f>IFERROR(IF($I102="Urban",(VLOOKUP($K102,lookup_urban,M$1,FALSE)*$H102*Coverage!I102),IF($I102="Rural",(VLOOKUP($K102,lookup_rural,M$1,FALSE)*$H102*Coverage!I102),(VLOOKUP($K102,lookup_demography,M$1,FALSE)*$H102*Coverage!I102))),0)</f>
        <v>0</v>
      </c>
      <c r="N102" s="202">
        <f>IFERROR(IF($I102="Urban",(VLOOKUP($K102,lookup_urban,N$1,FALSE)*$H102*Coverage!J102),IF($I102="Rural",(VLOOKUP($K102,lookup_rural,N$1,FALSE)*$H102*Coverage!J102),(VLOOKUP($K102,lookup_demography,N$1,FALSE)*$H102*Coverage!J102))),0)</f>
        <v>0</v>
      </c>
      <c r="O102" s="202">
        <f>IFERROR(IF($I102="Urban",(VLOOKUP($K102,lookup_urban,O$1,FALSE)*$H102*Coverage!K102),IF($I102="Rural",(VLOOKUP($K102,lookup_rural,O$1,FALSE)*$H102*Coverage!K102),(VLOOKUP($K102,lookup_demography,O$1,FALSE)*$H102*Coverage!K102))),0)</f>
        <v>0</v>
      </c>
      <c r="Q102">
        <f>L102*'3. Intervention Details'!$H102</f>
        <v>0</v>
      </c>
      <c r="R102">
        <f>M102*'3. Intervention Details'!$H102</f>
        <v>0</v>
      </c>
      <c r="S102">
        <f>N102*'3. Intervention Details'!$H102</f>
        <v>0</v>
      </c>
      <c r="T102">
        <f>O102*'3. Intervention Details'!$H102</f>
        <v>0</v>
      </c>
      <c r="AA102" s="56" t="str">
        <f>IF('4. Policy Interactive Screen'!F111&lt;&gt;"",'4. Policy Interactive Screen'!F111,"")</f>
        <v/>
      </c>
      <c r="AB102" s="56" t="str">
        <f>IF('4. Policy Interactive Screen'!I111&lt;&gt;"",'4. Policy Interactive Screen'!I111,"")</f>
        <v/>
      </c>
      <c r="AC102" s="56" t="str">
        <f>IF('4. Policy Interactive Screen'!L111&lt;&gt;"",'4. Policy Interactive Screen'!L111,"")</f>
        <v/>
      </c>
      <c r="AD102" s="56" t="str">
        <f>IF('policy interact graph numbers'!AR111&lt;&gt;"",'policy interact graph numbers'!AR111,"")</f>
        <v/>
      </c>
    </row>
    <row r="103" spans="1:30" ht="15" thickBot="1" x14ac:dyDescent="0.45">
      <c r="A103" s="113">
        <v>98</v>
      </c>
      <c r="B103" s="310" t="str">
        <f>IF(Coverage!$B113="","",Coverage!$B113)</f>
        <v/>
      </c>
      <c r="C103" s="34" t="str">
        <f t="shared" si="19"/>
        <v/>
      </c>
      <c r="D103" s="308" t="str">
        <f t="shared" si="13"/>
        <v/>
      </c>
      <c r="E103" s="308" t="str">
        <f t="shared" si="14"/>
        <v/>
      </c>
      <c r="F103" s="308" t="str">
        <f t="shared" si="15"/>
        <v/>
      </c>
      <c r="G103" s="308" t="str">
        <f t="shared" si="16"/>
        <v/>
      </c>
      <c r="H103" s="34" t="str">
        <f t="shared" si="19"/>
        <v/>
      </c>
      <c r="I103" s="34" t="str">
        <f t="shared" si="19"/>
        <v/>
      </c>
      <c r="J103" s="34" t="str">
        <f t="shared" si="19"/>
        <v/>
      </c>
      <c r="K103" s="34" t="str">
        <f t="shared" si="19"/>
        <v/>
      </c>
      <c r="L103" s="202">
        <f>IFERROR(IF($I103="Urban",(VLOOKUP($K103,lookup_urban,L$1,FALSE)*$H103*Coverage!H103),IF($I103="Rural",(VLOOKUP($K103,lookup_rural,L$1,FALSE)*$H103*Coverage!G103),(VLOOKUP($K103,lookup_demography,L$1,FALSE)*$H103*Coverage!G103))),0)</f>
        <v>0</v>
      </c>
      <c r="M103" s="202">
        <f>IFERROR(IF($I103="Urban",(VLOOKUP($K103,lookup_urban,M$1,FALSE)*$H103*Coverage!I103),IF($I103="Rural",(VLOOKUP($K103,lookup_rural,M$1,FALSE)*$H103*Coverage!I103),(VLOOKUP($K103,lookup_demography,M$1,FALSE)*$H103*Coverage!I103))),0)</f>
        <v>0</v>
      </c>
      <c r="N103" s="202">
        <f>IFERROR(IF($I103="Urban",(VLOOKUP($K103,lookup_urban,N$1,FALSE)*$H103*Coverage!J103),IF($I103="Rural",(VLOOKUP($K103,lookup_rural,N$1,FALSE)*$H103*Coverage!J103),(VLOOKUP($K103,lookup_demography,N$1,FALSE)*$H103*Coverage!J103))),0)</f>
        <v>0</v>
      </c>
      <c r="O103" s="202">
        <f>IFERROR(IF($I103="Urban",(VLOOKUP($K103,lookup_urban,O$1,FALSE)*$H103*Coverage!K103),IF($I103="Rural",(VLOOKUP($K103,lookup_rural,O$1,FALSE)*$H103*Coverage!K103),(VLOOKUP($K103,lookup_demography,O$1,FALSE)*$H103*Coverage!K103))),0)</f>
        <v>0</v>
      </c>
      <c r="Q103">
        <f>L103*'3. Intervention Details'!$H103</f>
        <v>0</v>
      </c>
      <c r="R103">
        <f>M103*'3. Intervention Details'!$H103</f>
        <v>0</v>
      </c>
      <c r="S103">
        <f>N103*'3. Intervention Details'!$H103</f>
        <v>0</v>
      </c>
      <c r="T103">
        <f>O103*'3. Intervention Details'!$H103</f>
        <v>0</v>
      </c>
      <c r="AA103" s="56" t="str">
        <f>IF('4. Policy Interactive Screen'!F112&lt;&gt;"",'4. Policy Interactive Screen'!F112,"")</f>
        <v/>
      </c>
      <c r="AB103" s="56" t="str">
        <f>IF('4. Policy Interactive Screen'!I112&lt;&gt;"",'4. Policy Interactive Screen'!I112,"")</f>
        <v/>
      </c>
      <c r="AC103" s="56" t="str">
        <f>IF('4. Policy Interactive Screen'!L112&lt;&gt;"",'4. Policy Interactive Screen'!L112,"")</f>
        <v/>
      </c>
      <c r="AD103" s="56" t="str">
        <f>IF('policy interact graph numbers'!AR112&lt;&gt;"",'policy interact graph numbers'!AR112,"")</f>
        <v/>
      </c>
    </row>
    <row r="104" spans="1:30" ht="15" thickBot="1" x14ac:dyDescent="0.45">
      <c r="A104" s="113">
        <v>99</v>
      </c>
      <c r="B104" s="310" t="str">
        <f>IF(Coverage!$B114="","",Coverage!$B114)</f>
        <v/>
      </c>
      <c r="C104" s="34" t="str">
        <f t="shared" si="19"/>
        <v/>
      </c>
      <c r="D104" s="308" t="str">
        <f t="shared" si="13"/>
        <v/>
      </c>
      <c r="E104" s="308" t="str">
        <f t="shared" si="14"/>
        <v/>
      </c>
      <c r="F104" s="308" t="str">
        <f t="shared" si="15"/>
        <v/>
      </c>
      <c r="G104" s="308" t="str">
        <f t="shared" si="16"/>
        <v/>
      </c>
      <c r="H104" s="34" t="str">
        <f t="shared" si="19"/>
        <v/>
      </c>
      <c r="I104" s="34" t="str">
        <f t="shared" si="19"/>
        <v/>
      </c>
      <c r="J104" s="34" t="str">
        <f t="shared" si="19"/>
        <v/>
      </c>
      <c r="K104" s="34" t="str">
        <f t="shared" si="19"/>
        <v/>
      </c>
      <c r="L104" s="202">
        <f>IFERROR(IF($I104="Urban",(VLOOKUP($K104,lookup_urban,L$1,FALSE)*$H104*Coverage!H104),IF($I104="Rural",(VLOOKUP($K104,lookup_rural,L$1,FALSE)*$H104*Coverage!G104),(VLOOKUP($K104,lookup_demography,L$1,FALSE)*$H104*Coverage!G104))),0)</f>
        <v>0</v>
      </c>
      <c r="M104" s="202">
        <f>IFERROR(IF($I104="Urban",(VLOOKUP($K104,lookup_urban,M$1,FALSE)*$H104*Coverage!I104),IF($I104="Rural",(VLOOKUP($K104,lookup_rural,M$1,FALSE)*$H104*Coverage!I104),(VLOOKUP($K104,lookup_demography,M$1,FALSE)*$H104*Coverage!I104))),0)</f>
        <v>0</v>
      </c>
      <c r="N104" s="202">
        <f>IFERROR(IF($I104="Urban",(VLOOKUP($K104,lookup_urban,N$1,FALSE)*$H104*Coverage!J104),IF($I104="Rural",(VLOOKUP($K104,lookup_rural,N$1,FALSE)*$H104*Coverage!J104),(VLOOKUP($K104,lookup_demography,N$1,FALSE)*$H104*Coverage!J104))),0)</f>
        <v>0</v>
      </c>
      <c r="O104" s="202">
        <f>IFERROR(IF($I104="Urban",(VLOOKUP($K104,lookup_urban,O$1,FALSE)*$H104*Coverage!K104),IF($I104="Rural",(VLOOKUP($K104,lookup_rural,O$1,FALSE)*$H104*Coverage!K104),(VLOOKUP($K104,lookup_demography,O$1,FALSE)*$H104*Coverage!K104))),0)</f>
        <v>0</v>
      </c>
      <c r="Q104">
        <f>L104*'3. Intervention Details'!$H104</f>
        <v>0</v>
      </c>
      <c r="R104">
        <f>M104*'3. Intervention Details'!$H104</f>
        <v>0</v>
      </c>
      <c r="S104">
        <f>N104*'3. Intervention Details'!$H104</f>
        <v>0</v>
      </c>
      <c r="T104">
        <f>O104*'3. Intervention Details'!$H104</f>
        <v>0</v>
      </c>
      <c r="AA104" s="56" t="str">
        <f>IF('4. Policy Interactive Screen'!F113&lt;&gt;"",'4. Policy Interactive Screen'!F113,"")</f>
        <v/>
      </c>
      <c r="AB104" s="56" t="str">
        <f>IF('4. Policy Interactive Screen'!I113&lt;&gt;"",'4. Policy Interactive Screen'!I113,"")</f>
        <v/>
      </c>
      <c r="AC104" s="56" t="str">
        <f>IF('4. Policy Interactive Screen'!L113&lt;&gt;"",'4. Policy Interactive Screen'!L113,"")</f>
        <v/>
      </c>
      <c r="AD104" s="56" t="str">
        <f>IF('policy interact graph numbers'!AR113&lt;&gt;"",'policy interact graph numbers'!AR113,"")</f>
        <v/>
      </c>
    </row>
    <row r="105" spans="1:30" ht="15" thickBot="1" x14ac:dyDescent="0.45">
      <c r="A105" s="113">
        <v>100</v>
      </c>
      <c r="B105" s="311" t="str">
        <f>IF(Coverage!$B115="","",Coverage!$B115)</f>
        <v/>
      </c>
      <c r="C105" s="206" t="str">
        <f t="shared" si="19"/>
        <v/>
      </c>
      <c r="D105" s="308" t="str">
        <f t="shared" si="13"/>
        <v/>
      </c>
      <c r="E105" s="308" t="str">
        <f t="shared" si="14"/>
        <v/>
      </c>
      <c r="F105" s="308" t="str">
        <f t="shared" si="15"/>
        <v/>
      </c>
      <c r="G105" s="308" t="str">
        <f t="shared" si="16"/>
        <v/>
      </c>
      <c r="H105" s="206" t="str">
        <f t="shared" si="19"/>
        <v/>
      </c>
      <c r="I105" s="206" t="str">
        <f t="shared" si="19"/>
        <v/>
      </c>
      <c r="J105" s="206" t="str">
        <f t="shared" si="19"/>
        <v/>
      </c>
      <c r="K105" s="206" t="str">
        <f t="shared" si="19"/>
        <v/>
      </c>
      <c r="L105" s="202">
        <f>IFERROR(IF($I105="Urban",(VLOOKUP($K105,lookup_urban,L$1,FALSE)*$H105*Coverage!H105),IF($I105="Rural",(VLOOKUP($K105,lookup_rural,L$1,FALSE)*$H105*Coverage!G105),(VLOOKUP($K105,lookup_demography,L$1,FALSE)*$H105*Coverage!G105))),0)</f>
        <v>0</v>
      </c>
      <c r="M105" s="286">
        <f>IFERROR(IF($I105="Urban",(VLOOKUP($K105,lookup_urban,M$1,FALSE)*$H105*Coverage!I105),IF($I105="Rural",(VLOOKUP($K105,lookup_rural,M$1,FALSE)*$H105*Coverage!I105),(VLOOKUP($K105,lookup_demography,M$1,FALSE)*$H105*Coverage!I105))),0)</f>
        <v>0</v>
      </c>
      <c r="N105" s="286">
        <f>IFERROR(IF($I105="Urban",(VLOOKUP($K105,lookup_urban,N$1,FALSE)*$H105*Coverage!J105),IF($I105="Rural",(VLOOKUP($K105,lookup_rural,N$1,FALSE)*$H105*Coverage!J105),(VLOOKUP($K105,lookup_demography,N$1,FALSE)*$H105*Coverage!J105))),0)</f>
        <v>0</v>
      </c>
      <c r="O105" s="286">
        <f>IFERROR(IF($I105="Urban",(VLOOKUP($K105,lookup_urban,O$1,FALSE)*$H105*Coverage!K105),IF($I105="Rural",(VLOOKUP($K105,lookup_rural,O$1,FALSE)*$H105*Coverage!K105),(VLOOKUP($K105,lookup_demography,O$1,FALSE)*$H105*Coverage!K105))),0)</f>
        <v>0</v>
      </c>
      <c r="Q105">
        <f>L105*'3. Intervention Details'!$H105</f>
        <v>0</v>
      </c>
      <c r="R105">
        <f>M105*'3. Intervention Details'!$H105</f>
        <v>0</v>
      </c>
      <c r="S105">
        <f>N105*'3. Intervention Details'!$H105</f>
        <v>0</v>
      </c>
      <c r="T105">
        <f>O105*'3. Intervention Details'!$H105</f>
        <v>0</v>
      </c>
      <c r="AA105" s="56" t="str">
        <f>IF('4. Policy Interactive Screen'!F114&lt;&gt;"",'4. Policy Interactive Screen'!F114,"")</f>
        <v/>
      </c>
      <c r="AB105" s="56" t="str">
        <f>IF('4. Policy Interactive Screen'!I114&lt;&gt;"",'4. Policy Interactive Screen'!I114,"")</f>
        <v/>
      </c>
      <c r="AC105" s="56" t="str">
        <f>IF('4. Policy Interactive Screen'!L114&lt;&gt;"",'4. Policy Interactive Screen'!L114,"")</f>
        <v/>
      </c>
      <c r="AD105" s="56" t="str">
        <f>IF('policy interact graph numbers'!AR114&lt;&gt;"",'policy interact graph numbers'!AR114,"")</f>
        <v/>
      </c>
    </row>
    <row r="107" spans="1:30" x14ac:dyDescent="0.4">
      <c r="B107" s="169"/>
    </row>
    <row r="120" spans="2:2" x14ac:dyDescent="0.4">
      <c r="B120" s="169"/>
    </row>
  </sheetData>
  <dataValidations count="1">
    <dataValidation type="list" allowBlank="1" showInputMessage="1" showErrorMessage="1" sqref="AA6:AD105" xr:uid="{00000000-0002-0000-1600-000000000000}">
      <formula1>chw_list</formula1>
    </dataValidation>
  </dataValidations>
  <pageMargins left="0.7" right="0.7" top="0.75" bottom="0.75" header="0.3" footer="0.3"/>
  <pageSetup orientation="portrait" horizontalDpi="0" verticalDpi="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33">
    <tabColor theme="8" tint="-0.249977111117893"/>
  </sheetPr>
  <dimension ref="B1:I41"/>
  <sheetViews>
    <sheetView zoomScale="90" zoomScaleNormal="90" workbookViewId="0">
      <pane ySplit="2" topLeftCell="A3" activePane="bottomLeft" state="frozen"/>
      <selection activeCell="H26" sqref="H26"/>
      <selection pane="bottomLeft" activeCell="H26" sqref="H26"/>
    </sheetView>
  </sheetViews>
  <sheetFormatPr defaultColWidth="8.84375" defaultRowHeight="14.6" x14ac:dyDescent="0.4"/>
  <cols>
    <col min="1" max="1" width="4.3046875" customWidth="1"/>
    <col min="2" max="2" width="37.4609375" customWidth="1"/>
    <col min="3" max="3" width="12.4609375" customWidth="1"/>
    <col min="4" max="6" width="12.69140625" customWidth="1"/>
  </cols>
  <sheetData>
    <row r="1" spans="2:6" ht="15" thickBot="1" x14ac:dyDescent="0.45"/>
    <row r="2" spans="2:6" ht="15" thickBot="1" x14ac:dyDescent="0.45">
      <c r="B2" s="209"/>
      <c r="C2" s="5">
        <f>baseline_year</f>
        <v>0</v>
      </c>
      <c r="D2" s="6">
        <f>baseline_year+1</f>
        <v>1</v>
      </c>
      <c r="E2" s="6">
        <f t="shared" ref="E2:F2" si="0">D2+1</f>
        <v>2</v>
      </c>
      <c r="F2" s="6">
        <f t="shared" si="0"/>
        <v>3</v>
      </c>
    </row>
    <row r="3" spans="2:6" x14ac:dyDescent="0.4">
      <c r="B3" s="138"/>
      <c r="C3" s="8"/>
      <c r="D3" s="9"/>
      <c r="E3" s="9"/>
      <c r="F3" s="9"/>
    </row>
    <row r="4" spans="2:6" ht="15" thickBot="1" x14ac:dyDescent="0.45">
      <c r="B4" s="138" t="s">
        <v>1014</v>
      </c>
      <c r="C4" s="8"/>
      <c r="D4" s="9"/>
      <c r="E4" s="9"/>
      <c r="F4" s="9"/>
    </row>
    <row r="5" spans="2:6" x14ac:dyDescent="0.4">
      <c r="B5" s="164">
        <f>program1</f>
        <v>0</v>
      </c>
      <c r="C5" s="210">
        <f>SUMIF(Service_Numbers!$C$6:$C$105,$B5,Service_Numbers!L$6:L$105)</f>
        <v>0</v>
      </c>
      <c r="D5" s="210">
        <f>SUMIF(Service_Numbers!$C$6:$C$105,$B5,Service_Numbers!M$6:M$105)</f>
        <v>0</v>
      </c>
      <c r="E5" s="210">
        <f>SUMIF(Service_Numbers!$C$6:$C$105,$B5,Service_Numbers!N$6:N$105)</f>
        <v>0</v>
      </c>
      <c r="F5" s="210">
        <f>SUMIF(Service_Numbers!$C$6:$C$105,$B5,Service_Numbers!O$6:O$105)</f>
        <v>0</v>
      </c>
    </row>
    <row r="6" spans="2:6" x14ac:dyDescent="0.4">
      <c r="B6" s="161">
        <f>program2</f>
        <v>0</v>
      </c>
      <c r="C6" s="139">
        <f>SUMIF(Service_Numbers!$C$6:$C$105,$B6,Service_Numbers!L$6:L$105)</f>
        <v>0</v>
      </c>
      <c r="D6" s="139">
        <f>SUMIF(Service_Numbers!$C$6:$C$105,$B6,Service_Numbers!M$6:M$105)</f>
        <v>0</v>
      </c>
      <c r="E6" s="139">
        <f>SUMIF(Service_Numbers!$C$6:$C$105,$B6,Service_Numbers!N$6:N$105)</f>
        <v>0</v>
      </c>
      <c r="F6" s="139">
        <f>SUMIF(Service_Numbers!$C$6:$C$105,$B6,Service_Numbers!O$6:O$105)</f>
        <v>0</v>
      </c>
    </row>
    <row r="7" spans="2:6" x14ac:dyDescent="0.4">
      <c r="B7" s="161">
        <f>program3</f>
        <v>0</v>
      </c>
      <c r="C7" s="139">
        <f>SUMIF(Service_Numbers!$C$6:$C$105,$B7,Service_Numbers!L$6:L$105)</f>
        <v>0</v>
      </c>
      <c r="D7" s="139">
        <f>SUMIF(Service_Numbers!$C$6:$C$105,$B7,Service_Numbers!M$6:M$105)</f>
        <v>0</v>
      </c>
      <c r="E7" s="139">
        <f>SUMIF(Service_Numbers!$C$6:$C$105,$B7,Service_Numbers!N$6:N$105)</f>
        <v>0</v>
      </c>
      <c r="F7" s="139">
        <f>SUMIF(Service_Numbers!$C$6:$C$105,$B7,Service_Numbers!O$6:O$105)</f>
        <v>0</v>
      </c>
    </row>
    <row r="8" spans="2:6" x14ac:dyDescent="0.4">
      <c r="B8" s="161">
        <f>program4</f>
        <v>0</v>
      </c>
      <c r="C8" s="139">
        <f>SUMIF(Service_Numbers!$C$6:$C$105,$B8,Service_Numbers!L$6:L$105)</f>
        <v>0</v>
      </c>
      <c r="D8" s="139">
        <f>SUMIF(Service_Numbers!$C$6:$C$105,$B8,Service_Numbers!M$6:M$105)</f>
        <v>0</v>
      </c>
      <c r="E8" s="139">
        <f>SUMIF(Service_Numbers!$C$6:$C$105,$B8,Service_Numbers!N$6:N$105)</f>
        <v>0</v>
      </c>
      <c r="F8" s="139">
        <f>SUMIF(Service_Numbers!$C$6:$C$105,$B8,Service_Numbers!O$6:O$105)</f>
        <v>0</v>
      </c>
    </row>
    <row r="9" spans="2:6" x14ac:dyDescent="0.4">
      <c r="B9" s="161">
        <f>program5</f>
        <v>0</v>
      </c>
      <c r="C9" s="139">
        <f>SUMIF(Service_Numbers!$C$6:$C$105,$B9,Service_Numbers!L$6:L$105)</f>
        <v>0</v>
      </c>
      <c r="D9" s="139">
        <f>SUMIF(Service_Numbers!$C$6:$C$105,$B9,Service_Numbers!M$6:M$105)</f>
        <v>0</v>
      </c>
      <c r="E9" s="139">
        <f>SUMIF(Service_Numbers!$C$6:$C$105,$B9,Service_Numbers!N$6:N$105)</f>
        <v>0</v>
      </c>
      <c r="F9" s="139">
        <f>SUMIF(Service_Numbers!$C$6:$C$105,$B9,Service_Numbers!O$6:O$105)</f>
        <v>0</v>
      </c>
    </row>
    <row r="10" spans="2:6" x14ac:dyDescent="0.4">
      <c r="B10" s="161">
        <f>program6</f>
        <v>0</v>
      </c>
      <c r="C10" s="139">
        <f>SUMIF(Service_Numbers!$C$6:$C$105,$B10,Service_Numbers!L$6:L$105)</f>
        <v>0</v>
      </c>
      <c r="D10" s="139">
        <f>SUMIF(Service_Numbers!$C$6:$C$105,$B10,Service_Numbers!M$6:M$105)</f>
        <v>0</v>
      </c>
      <c r="E10" s="139">
        <f>SUMIF(Service_Numbers!$C$6:$C$105,$B10,Service_Numbers!N$6:N$105)</f>
        <v>0</v>
      </c>
      <c r="F10" s="139">
        <f>SUMIF(Service_Numbers!$C$6:$C$105,$B10,Service_Numbers!O$6:O$105)</f>
        <v>0</v>
      </c>
    </row>
    <row r="11" spans="2:6" x14ac:dyDescent="0.4">
      <c r="B11" s="161">
        <f>program7</f>
        <v>0</v>
      </c>
      <c r="C11" s="139">
        <f>SUMIF(Service_Numbers!$C$6:$C$105,$B11,Service_Numbers!L$6:L$105)</f>
        <v>0</v>
      </c>
      <c r="D11" s="139">
        <f>SUMIF(Service_Numbers!$C$6:$C$105,$B11,Service_Numbers!M$6:M$105)</f>
        <v>0</v>
      </c>
      <c r="E11" s="139">
        <f>SUMIF(Service_Numbers!$C$6:$C$105,$B11,Service_Numbers!N$6:N$105)</f>
        <v>0</v>
      </c>
      <c r="F11" s="139">
        <f>SUMIF(Service_Numbers!$C$6:$C$105,$B11,Service_Numbers!O$6:O$105)</f>
        <v>0</v>
      </c>
    </row>
    <row r="12" spans="2:6" x14ac:dyDescent="0.4">
      <c r="B12" s="161">
        <f>program8</f>
        <v>0</v>
      </c>
      <c r="C12" s="139">
        <f>SUMIF(Service_Numbers!$C$6:$C$105,$B12,Service_Numbers!L$6:L$105)</f>
        <v>0</v>
      </c>
      <c r="D12" s="139">
        <f>SUMIF(Service_Numbers!$C$6:$C$105,$B12,Service_Numbers!M$6:M$105)</f>
        <v>0</v>
      </c>
      <c r="E12" s="139">
        <f>SUMIF(Service_Numbers!$C$6:$C$105,$B12,Service_Numbers!N$6:N$105)</f>
        <v>0</v>
      </c>
      <c r="F12" s="139">
        <f>SUMIF(Service_Numbers!$C$6:$C$105,$B12,Service_Numbers!O$6:O$105)</f>
        <v>0</v>
      </c>
    </row>
    <row r="13" spans="2:6" x14ac:dyDescent="0.4">
      <c r="B13" s="161">
        <f>program9</f>
        <v>0</v>
      </c>
      <c r="C13" s="139">
        <f>SUMIF(Service_Numbers!$C$6:$C$105,$B13,Service_Numbers!L$6:L$105)</f>
        <v>0</v>
      </c>
      <c r="D13" s="139">
        <f>SUMIF(Service_Numbers!$C$6:$C$105,$B13,Service_Numbers!M$6:M$105)</f>
        <v>0</v>
      </c>
      <c r="E13" s="139">
        <f>SUMIF(Service_Numbers!$C$6:$C$105,$B13,Service_Numbers!N$6:N$105)</f>
        <v>0</v>
      </c>
      <c r="F13" s="139">
        <f>SUMIF(Service_Numbers!$C$6:$C$105,$B13,Service_Numbers!O$6:O$105)</f>
        <v>0</v>
      </c>
    </row>
    <row r="14" spans="2:6" ht="15" thickBot="1" x14ac:dyDescent="0.45">
      <c r="B14" s="161">
        <f>program10</f>
        <v>0</v>
      </c>
      <c r="C14" s="139">
        <f>SUMIF(Service_Numbers!$C$6:$C$105,$B14,Service_Numbers!L$6:L$105)</f>
        <v>0</v>
      </c>
      <c r="D14" s="139">
        <f>SUMIF(Service_Numbers!$C$6:$C$105,$B14,Service_Numbers!M$6:M$105)</f>
        <v>0</v>
      </c>
      <c r="E14" s="139">
        <f>SUMIF(Service_Numbers!$C$6:$C$105,$B14,Service_Numbers!N$6:N$105)</f>
        <v>0</v>
      </c>
      <c r="F14" s="139">
        <f>SUMIF(Service_Numbers!$C$6:$C$105,$B14,Service_Numbers!O$6:O$105)</f>
        <v>0</v>
      </c>
    </row>
    <row r="15" spans="2:6" ht="15" thickBot="1" x14ac:dyDescent="0.45">
      <c r="B15" s="160" t="s">
        <v>99</v>
      </c>
      <c r="C15" s="211">
        <f>IF(ROUND(SUM(C5:C14),0)=Service_Numbers!L4,Service_Numbers!L4,"Error")</f>
        <v>0</v>
      </c>
      <c r="D15" s="211">
        <f>IF(ROUND(SUM(D5:D14),0)=Service_Numbers!M4,Service_Numbers!M4,"Error")</f>
        <v>0</v>
      </c>
      <c r="E15" s="211">
        <f>IF(ROUND(SUM(E5:E14),0)=Service_Numbers!N4,Service_Numbers!N4,"Error")</f>
        <v>0</v>
      </c>
      <c r="F15" s="211">
        <f>IF(ROUND(SUM(F5:F14),0)=Service_Numbers!O4,Service_Numbers!O4,"Error")</f>
        <v>0</v>
      </c>
    </row>
    <row r="16" spans="2:6" x14ac:dyDescent="0.4">
      <c r="B16" s="138"/>
      <c r="C16" s="8"/>
      <c r="D16" s="9"/>
      <c r="E16" s="9"/>
      <c r="F16" s="9"/>
    </row>
    <row r="17" spans="2:9" ht="15" thickBot="1" x14ac:dyDescent="0.45">
      <c r="B17" s="138" t="s">
        <v>1015</v>
      </c>
      <c r="C17" s="8"/>
      <c r="D17" s="9"/>
      <c r="E17" s="9"/>
      <c r="F17" s="9"/>
    </row>
    <row r="18" spans="2:9" x14ac:dyDescent="0.4">
      <c r="B18" s="164">
        <f>program1</f>
        <v>0</v>
      </c>
      <c r="C18" s="220">
        <f>IF(C$15=0,0,C5/C$15)</f>
        <v>0</v>
      </c>
      <c r="D18" s="220">
        <f>IF(D$15=0,0,D5/D$15)</f>
        <v>0</v>
      </c>
      <c r="E18" s="220">
        <f t="shared" ref="E18:F18" si="1">IF(E$15=0,0,E5/E$15)</f>
        <v>0</v>
      </c>
      <c r="F18" s="220">
        <f t="shared" si="1"/>
        <v>0</v>
      </c>
    </row>
    <row r="19" spans="2:9" x14ac:dyDescent="0.4">
      <c r="B19" s="161">
        <f>program2</f>
        <v>0</v>
      </c>
      <c r="C19" s="214">
        <f t="shared" ref="C19:F27" si="2">IF(C$15=0,0,C6/C$15)</f>
        <v>0</v>
      </c>
      <c r="D19" s="214">
        <f t="shared" si="2"/>
        <v>0</v>
      </c>
      <c r="E19" s="214">
        <f t="shared" si="2"/>
        <v>0</v>
      </c>
      <c r="F19" s="214">
        <f t="shared" si="2"/>
        <v>0</v>
      </c>
    </row>
    <row r="20" spans="2:9" x14ac:dyDescent="0.4">
      <c r="B20" s="161">
        <f>program3</f>
        <v>0</v>
      </c>
      <c r="C20" s="214">
        <f t="shared" si="2"/>
        <v>0</v>
      </c>
      <c r="D20" s="214">
        <f t="shared" si="2"/>
        <v>0</v>
      </c>
      <c r="E20" s="214">
        <f t="shared" si="2"/>
        <v>0</v>
      </c>
      <c r="F20" s="214">
        <f t="shared" si="2"/>
        <v>0</v>
      </c>
    </row>
    <row r="21" spans="2:9" x14ac:dyDescent="0.4">
      <c r="B21" s="161">
        <f>program4</f>
        <v>0</v>
      </c>
      <c r="C21" s="214">
        <f t="shared" si="2"/>
        <v>0</v>
      </c>
      <c r="D21" s="214">
        <f t="shared" si="2"/>
        <v>0</v>
      </c>
      <c r="E21" s="214">
        <f t="shared" si="2"/>
        <v>0</v>
      </c>
      <c r="F21" s="214">
        <f t="shared" si="2"/>
        <v>0</v>
      </c>
    </row>
    <row r="22" spans="2:9" x14ac:dyDescent="0.4">
      <c r="B22" s="161">
        <f>program5</f>
        <v>0</v>
      </c>
      <c r="C22" s="214">
        <f t="shared" si="2"/>
        <v>0</v>
      </c>
      <c r="D22" s="214">
        <f t="shared" si="2"/>
        <v>0</v>
      </c>
      <c r="E22" s="214">
        <f t="shared" si="2"/>
        <v>0</v>
      </c>
      <c r="F22" s="214">
        <f t="shared" si="2"/>
        <v>0</v>
      </c>
    </row>
    <row r="23" spans="2:9" x14ac:dyDescent="0.4">
      <c r="B23" s="161">
        <f>program6</f>
        <v>0</v>
      </c>
      <c r="C23" s="214">
        <f t="shared" si="2"/>
        <v>0</v>
      </c>
      <c r="D23" s="214">
        <f t="shared" si="2"/>
        <v>0</v>
      </c>
      <c r="E23" s="214">
        <f t="shared" si="2"/>
        <v>0</v>
      </c>
      <c r="F23" s="214">
        <f t="shared" si="2"/>
        <v>0</v>
      </c>
    </row>
    <row r="24" spans="2:9" x14ac:dyDescent="0.4">
      <c r="B24" s="161">
        <f>program7</f>
        <v>0</v>
      </c>
      <c r="C24" s="214">
        <f t="shared" si="2"/>
        <v>0</v>
      </c>
      <c r="D24" s="214">
        <f t="shared" si="2"/>
        <v>0</v>
      </c>
      <c r="E24" s="214">
        <f t="shared" si="2"/>
        <v>0</v>
      </c>
      <c r="F24" s="214">
        <f t="shared" si="2"/>
        <v>0</v>
      </c>
    </row>
    <row r="25" spans="2:9" x14ac:dyDescent="0.4">
      <c r="B25" s="161">
        <f>program8</f>
        <v>0</v>
      </c>
      <c r="C25" s="214">
        <f t="shared" si="2"/>
        <v>0</v>
      </c>
      <c r="D25" s="214">
        <f t="shared" si="2"/>
        <v>0</v>
      </c>
      <c r="E25" s="214">
        <f t="shared" si="2"/>
        <v>0</v>
      </c>
      <c r="F25" s="214">
        <f t="shared" si="2"/>
        <v>0</v>
      </c>
    </row>
    <row r="26" spans="2:9" x14ac:dyDescent="0.4">
      <c r="B26" s="161">
        <f>program9</f>
        <v>0</v>
      </c>
      <c r="C26" s="214">
        <f t="shared" si="2"/>
        <v>0</v>
      </c>
      <c r="D26" s="214">
        <f t="shared" si="2"/>
        <v>0</v>
      </c>
      <c r="E26" s="214">
        <f t="shared" si="2"/>
        <v>0</v>
      </c>
      <c r="F26" s="214">
        <f t="shared" si="2"/>
        <v>0</v>
      </c>
    </row>
    <row r="27" spans="2:9" ht="15" thickBot="1" x14ac:dyDescent="0.45">
      <c r="B27" s="161">
        <f>program10</f>
        <v>0</v>
      </c>
      <c r="C27" s="214">
        <f t="shared" si="2"/>
        <v>0</v>
      </c>
      <c r="D27" s="214">
        <f t="shared" si="2"/>
        <v>0</v>
      </c>
      <c r="E27" s="214">
        <f t="shared" si="2"/>
        <v>0</v>
      </c>
      <c r="F27" s="214">
        <f t="shared" si="2"/>
        <v>0</v>
      </c>
    </row>
    <row r="28" spans="2:9" ht="15" thickBot="1" x14ac:dyDescent="0.45">
      <c r="B28" s="160" t="s">
        <v>99</v>
      </c>
      <c r="C28" s="215">
        <f>IF(C15=0,0,IF(ROUND(SUM(C18:C27),0.1)=1,1,"Error"))</f>
        <v>0</v>
      </c>
      <c r="D28" s="215">
        <f t="shared" ref="D28:F28" si="3">IF(D15=0,0,IF(ROUND(SUM(D18:D27),0.1)=1,1,"Error"))</f>
        <v>0</v>
      </c>
      <c r="E28" s="215">
        <f t="shared" si="3"/>
        <v>0</v>
      </c>
      <c r="F28" s="215">
        <f t="shared" si="3"/>
        <v>0</v>
      </c>
    </row>
    <row r="29" spans="2:9" x14ac:dyDescent="0.4">
      <c r="B29" s="138"/>
      <c r="C29" s="8"/>
      <c r="D29" s="9"/>
      <c r="E29" s="9"/>
      <c r="F29" s="9"/>
    </row>
    <row r="30" spans="2:9" ht="15" thickBot="1" x14ac:dyDescent="0.45">
      <c r="B30" s="2" t="s">
        <v>1016</v>
      </c>
      <c r="F30" s="208"/>
      <c r="G30" s="208"/>
      <c r="H30" s="208"/>
      <c r="I30" s="208"/>
    </row>
    <row r="31" spans="2:9" x14ac:dyDescent="0.4">
      <c r="B31" s="164">
        <f>program1</f>
        <v>0</v>
      </c>
      <c r="C31" s="210">
        <f>(SUMIF(CHW_Time!$C$6:$C$105,$B31,CHW_Time!I$6:I$105))/60</f>
        <v>0</v>
      </c>
      <c r="D31" s="210">
        <f>(SUMIF(CHW_Time!$C$6:$C$105,$B31,CHW_Time!J$6:J$105))/60</f>
        <v>0</v>
      </c>
      <c r="E31" s="210">
        <f>(SUMIF(CHW_Time!$C$6:$C$105,$B31,CHW_Time!K$6:K$105))/60</f>
        <v>0</v>
      </c>
      <c r="F31" s="210">
        <f>(SUMIF(CHW_Time!$C$6:$C$105,$B31,CHW_Time!L$6:L$105))/60</f>
        <v>0</v>
      </c>
    </row>
    <row r="32" spans="2:9" x14ac:dyDescent="0.4">
      <c r="B32" s="161">
        <f>program2</f>
        <v>0</v>
      </c>
      <c r="C32" s="139">
        <f>(SUMIF(CHW_Time!$C$6:$C$105,$B32,CHW_Time!I$6:I$105))/60</f>
        <v>0</v>
      </c>
      <c r="D32" s="139">
        <f>(SUMIF(CHW_Time!$C$6:$C$105,$B32,CHW_Time!J$6:J$105))/60</f>
        <v>0</v>
      </c>
      <c r="E32" s="139">
        <f>(SUMIF(CHW_Time!$C$6:$C$105,$B32,CHW_Time!K$6:K$105))/60</f>
        <v>0</v>
      </c>
      <c r="F32" s="139">
        <f>(SUMIF(CHW_Time!$C$6:$C$105,$B32,CHW_Time!L$6:L$105))/60</f>
        <v>0</v>
      </c>
    </row>
    <row r="33" spans="2:6" x14ac:dyDescent="0.4">
      <c r="B33" s="161">
        <f>program3</f>
        <v>0</v>
      </c>
      <c r="C33" s="139">
        <f>(SUMIF(CHW_Time!$C$6:$C$105,$B33,CHW_Time!I$6:I$105))/60</f>
        <v>0</v>
      </c>
      <c r="D33" s="139">
        <f>(SUMIF(CHW_Time!$C$6:$C$105,$B33,CHW_Time!J$6:J$105))/60</f>
        <v>0</v>
      </c>
      <c r="E33" s="139">
        <f>(SUMIF(CHW_Time!$C$6:$C$105,$B33,CHW_Time!K$6:K$105))/60</f>
        <v>0</v>
      </c>
      <c r="F33" s="139">
        <f>(SUMIF(CHW_Time!$C$6:$C$105,$B33,CHW_Time!L$6:L$105))/60</f>
        <v>0</v>
      </c>
    </row>
    <row r="34" spans="2:6" x14ac:dyDescent="0.4">
      <c r="B34" s="161">
        <f>program4</f>
        <v>0</v>
      </c>
      <c r="C34" s="139">
        <f>(SUMIF(CHW_Time!$C$6:$C$105,$B34,CHW_Time!I$6:I$105))/60</f>
        <v>0</v>
      </c>
      <c r="D34" s="139">
        <f>(SUMIF(CHW_Time!$C$6:$C$105,$B34,CHW_Time!J$6:J$105))/60</f>
        <v>0</v>
      </c>
      <c r="E34" s="139">
        <f>(SUMIF(CHW_Time!$C$6:$C$105,$B34,CHW_Time!K$6:K$105))/60</f>
        <v>0</v>
      </c>
      <c r="F34" s="139">
        <f>(SUMIF(CHW_Time!$C$6:$C$105,$B34,CHW_Time!L$6:L$105))/60</f>
        <v>0</v>
      </c>
    </row>
    <row r="35" spans="2:6" x14ac:dyDescent="0.4">
      <c r="B35" s="161">
        <f>program5</f>
        <v>0</v>
      </c>
      <c r="C35" s="139">
        <f>(SUMIF(CHW_Time!$C$6:$C$105,$B35,CHW_Time!I$6:I$105))/60</f>
        <v>0</v>
      </c>
      <c r="D35" s="139">
        <f>(SUMIF(CHW_Time!$C$6:$C$105,$B35,CHW_Time!J$6:J$105))/60</f>
        <v>0</v>
      </c>
      <c r="E35" s="139">
        <f>(SUMIF(CHW_Time!$C$6:$C$105,$B35,CHW_Time!K$6:K$105))/60</f>
        <v>0</v>
      </c>
      <c r="F35" s="139">
        <f>(SUMIF(CHW_Time!$C$6:$C$105,$B35,CHW_Time!L$6:L$105))/60</f>
        <v>0</v>
      </c>
    </row>
    <row r="36" spans="2:6" x14ac:dyDescent="0.4">
      <c r="B36" s="161">
        <f>program6</f>
        <v>0</v>
      </c>
      <c r="C36" s="139">
        <f>(SUMIF(CHW_Time!$C$6:$C$105,$B36,CHW_Time!I$6:I$105))/60</f>
        <v>0</v>
      </c>
      <c r="D36" s="139">
        <f>(SUMIF(CHW_Time!$C$6:$C$105,$B36,CHW_Time!J$6:J$105))/60</f>
        <v>0</v>
      </c>
      <c r="E36" s="139">
        <f>(SUMIF(CHW_Time!$C$6:$C$105,$B36,CHW_Time!K$6:K$105))/60</f>
        <v>0</v>
      </c>
      <c r="F36" s="139">
        <f>(SUMIF(CHW_Time!$C$6:$C$105,$B36,CHW_Time!L$6:L$105))/60</f>
        <v>0</v>
      </c>
    </row>
    <row r="37" spans="2:6" x14ac:dyDescent="0.4">
      <c r="B37" s="161">
        <f>program7</f>
        <v>0</v>
      </c>
      <c r="C37" s="139">
        <f>(SUMIF(CHW_Time!$C$6:$C$105,$B37,CHW_Time!I$6:I$105))/60</f>
        <v>0</v>
      </c>
      <c r="D37" s="139">
        <f>(SUMIF(CHW_Time!$C$6:$C$105,$B37,CHW_Time!J$6:J$105))/60</f>
        <v>0</v>
      </c>
      <c r="E37" s="139">
        <f>(SUMIF(CHW_Time!$C$6:$C$105,$B37,CHW_Time!K$6:K$105))/60</f>
        <v>0</v>
      </c>
      <c r="F37" s="139">
        <f>(SUMIF(CHW_Time!$C$6:$C$105,$B37,CHW_Time!L$6:L$105))/60</f>
        <v>0</v>
      </c>
    </row>
    <row r="38" spans="2:6" x14ac:dyDescent="0.4">
      <c r="B38" s="161">
        <f>program8</f>
        <v>0</v>
      </c>
      <c r="C38" s="139">
        <f>(SUMIF(CHW_Time!$C$6:$C$105,$B38,CHW_Time!I$6:I$105))/60</f>
        <v>0</v>
      </c>
      <c r="D38" s="139">
        <f>(SUMIF(CHW_Time!$C$6:$C$105,$B38,CHW_Time!J$6:J$105))/60</f>
        <v>0</v>
      </c>
      <c r="E38" s="139">
        <f>(SUMIF(CHW_Time!$C$6:$C$105,$B38,CHW_Time!K$6:K$105))/60</f>
        <v>0</v>
      </c>
      <c r="F38" s="139">
        <f>(SUMIF(CHW_Time!$C$6:$C$105,$B38,CHW_Time!L$6:L$105))/60</f>
        <v>0</v>
      </c>
    </row>
    <row r="39" spans="2:6" x14ac:dyDescent="0.4">
      <c r="B39" s="161">
        <f>program9</f>
        <v>0</v>
      </c>
      <c r="C39" s="139">
        <f>(SUMIF(CHW_Time!$C$6:$C$105,$B39,CHW_Time!I$6:I$105))/60</f>
        <v>0</v>
      </c>
      <c r="D39" s="139">
        <f>(SUMIF(CHW_Time!$C$6:$C$105,$B39,CHW_Time!J$6:J$105))/60</f>
        <v>0</v>
      </c>
      <c r="E39" s="139">
        <f>(SUMIF(CHW_Time!$C$6:$C$105,$B39,CHW_Time!K$6:K$105))/60</f>
        <v>0</v>
      </c>
      <c r="F39" s="139">
        <f>(SUMIF(CHW_Time!$C$6:$C$105,$B39,CHW_Time!L$6:L$105))/60</f>
        <v>0</v>
      </c>
    </row>
    <row r="40" spans="2:6" x14ac:dyDescent="0.4">
      <c r="B40" s="161">
        <f>program10</f>
        <v>0</v>
      </c>
      <c r="C40" s="139">
        <f>(SUMIF(CHW_Time!$C$6:$C$105,$B40,CHW_Time!I$6:I$105))/60</f>
        <v>0</v>
      </c>
      <c r="D40" s="139">
        <f>(SUMIF(CHW_Time!$C$6:$C$105,$B40,CHW_Time!J$6:J$105))/60</f>
        <v>0</v>
      </c>
      <c r="E40" s="139">
        <f>(SUMIF(CHW_Time!$C$6:$C$105,$B40,CHW_Time!K$6:K$105))/60</f>
        <v>0</v>
      </c>
      <c r="F40" s="139">
        <f>(SUMIF(CHW_Time!$C$6:$C$105,$B40,CHW_Time!L$6:L$105))/60</f>
        <v>0</v>
      </c>
    </row>
    <row r="41" spans="2:6" ht="15" thickBot="1" x14ac:dyDescent="0.45">
      <c r="B41" s="163" t="s">
        <v>99</v>
      </c>
      <c r="C41" s="212">
        <f>SUM(C31:C40)</f>
        <v>0</v>
      </c>
      <c r="D41" s="212">
        <f t="shared" ref="D41:F41" si="4">SUM(D31:D40)</f>
        <v>0</v>
      </c>
      <c r="E41" s="212">
        <f t="shared" si="4"/>
        <v>0</v>
      </c>
      <c r="F41" s="212">
        <f t="shared" si="4"/>
        <v>0</v>
      </c>
    </row>
  </sheetData>
  <pageMargins left="0.7" right="0.7" top="0.75" bottom="0.75" header="0.3" footer="0.3"/>
  <pageSetup paperSize="9" orientation="portrait" horizontalDpi="4294967293" verticalDpi="0"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5">
    <tabColor theme="9" tint="-0.249977111117893"/>
  </sheetPr>
  <dimension ref="B1:Z29"/>
  <sheetViews>
    <sheetView showGridLines="0" topLeftCell="E11" zoomScaleNormal="100" workbookViewId="0">
      <selection activeCell="G19" sqref="G19:K28"/>
    </sheetView>
  </sheetViews>
  <sheetFormatPr defaultColWidth="9.3046875" defaultRowHeight="15.9" x14ac:dyDescent="0.5"/>
  <cols>
    <col min="1" max="1" width="4.3046875" style="329" customWidth="1"/>
    <col min="2" max="2" width="34.69140625" style="329" customWidth="1"/>
    <col min="3" max="3" width="69.3046875" style="329" customWidth="1"/>
    <col min="4" max="4" width="47.69140625" style="329" customWidth="1"/>
    <col min="5" max="5" width="3.3046875" style="329" customWidth="1"/>
    <col min="6" max="16384" width="9.3046875" style="329"/>
  </cols>
  <sheetData>
    <row r="1" spans="2:26" ht="18.45" thickBot="1" x14ac:dyDescent="0.65">
      <c r="B1" s="450" t="s">
        <v>1047</v>
      </c>
      <c r="C1" s="450" t="s">
        <v>1059</v>
      </c>
      <c r="D1" s="449"/>
      <c r="E1" s="449"/>
    </row>
    <row r="2" spans="2:26" ht="18" x14ac:dyDescent="0.6">
      <c r="B2" s="330" t="s">
        <v>1568</v>
      </c>
      <c r="C2" s="571" t="s">
        <v>1586</v>
      </c>
      <c r="D2" s="572"/>
      <c r="E2" s="333"/>
    </row>
    <row r="3" spans="2:26" ht="18.45" thickBot="1" x14ac:dyDescent="0.65">
      <c r="B3" s="351"/>
      <c r="C3" s="571" t="s">
        <v>1587</v>
      </c>
      <c r="D3" s="337"/>
      <c r="E3" s="354"/>
    </row>
    <row r="4" spans="2:26" x14ac:dyDescent="0.5">
      <c r="B4" s="330" t="s">
        <v>56</v>
      </c>
      <c r="C4" s="331" t="s">
        <v>1038</v>
      </c>
      <c r="D4" s="332"/>
      <c r="E4" s="333"/>
      <c r="G4" s="329" t="s">
        <v>1044</v>
      </c>
      <c r="H4" s="334"/>
      <c r="I4" s="334"/>
      <c r="J4" s="334"/>
      <c r="K4" s="334"/>
    </row>
    <row r="5" spans="2:26" x14ac:dyDescent="0.5">
      <c r="B5" s="335"/>
      <c r="C5" s="336" t="s">
        <v>1582</v>
      </c>
      <c r="D5" s="337"/>
      <c r="E5" s="338"/>
      <c r="F5" s="339" t="str">
        <f>IF(OR(selected_country="Andorra",selected_country="Cook Islands",selected_country="Dominica",selected_country="Liechtenstein",selected_country="Marshall Islands",selected_country= "Monaco",selected_country="Nauru",selected_country="Niue",selected_country="Palau",selected_country="Saint Kitts and Nevis",selected_country="San Marino",selected_country="Tuvalu"),"Warning - demographic data not available for this country.","")</f>
        <v/>
      </c>
      <c r="G5" s="334" t="s">
        <v>1065</v>
      </c>
      <c r="H5" s="334"/>
      <c r="I5" s="334"/>
      <c r="J5" s="334"/>
      <c r="K5" s="334"/>
      <c r="Z5" s="340" t="s">
        <v>58</v>
      </c>
    </row>
    <row r="6" spans="2:26" x14ac:dyDescent="0.5">
      <c r="B6" s="335"/>
      <c r="C6" s="341"/>
      <c r="E6" s="338"/>
      <c r="F6" s="339"/>
      <c r="G6" s="334"/>
      <c r="H6" s="334"/>
      <c r="I6" s="334"/>
      <c r="J6" s="334"/>
      <c r="K6" s="334"/>
      <c r="Z6" s="340"/>
    </row>
    <row r="7" spans="2:26" ht="16.3" thickBot="1" x14ac:dyDescent="0.55000000000000004">
      <c r="B7" s="335"/>
      <c r="C7" s="336" t="s">
        <v>1048</v>
      </c>
      <c r="D7" s="337"/>
      <c r="E7" s="338"/>
      <c r="F7" s="339"/>
      <c r="G7" s="342"/>
      <c r="H7" s="334"/>
      <c r="I7" s="334"/>
      <c r="J7" s="334"/>
      <c r="K7" s="334"/>
      <c r="Z7" s="340"/>
    </row>
    <row r="8" spans="2:26" x14ac:dyDescent="0.5">
      <c r="B8" s="335"/>
      <c r="C8" s="341"/>
      <c r="D8" s="343"/>
      <c r="E8" s="338"/>
      <c r="F8" s="340" t="str">
        <f>IF(OR(selected_country="Andorra",selected_country="Cook Islands",selected_country="Dominica",selected_country="Liechtenstein",selected_country="Marshall Islands",selected_country= "Monaco",selected_country="Nauru",selected_country="Niue",selected_country="Palau",selected_country="Saint Kitts and Nevis",selected_country="San Marino",selected_country="Tuvalu"),"Please manually input data into the Country_Database worksheet.","")</f>
        <v/>
      </c>
      <c r="G8" s="334"/>
      <c r="H8" s="334"/>
      <c r="I8" s="334"/>
      <c r="J8" s="334"/>
      <c r="K8" s="334"/>
      <c r="Z8" s="344">
        <f>IF('parameters (do not delete)'!D13="Only urban areas covered",1,IF('parameters (do not delete)'!D13="Only rural areas covered",2,IF('parameters (do not delete)'!D13="Rural and urban areas covered with same package",3,IF('parameters (do not delete)'!D13="Rural and urban areas covered with different packages",4,0))))</f>
        <v>3</v>
      </c>
    </row>
    <row r="9" spans="2:26" ht="16.3" thickBot="1" x14ac:dyDescent="0.55000000000000004">
      <c r="B9" s="335"/>
      <c r="C9" s="336" t="s">
        <v>1045</v>
      </c>
      <c r="D9" s="337"/>
      <c r="E9" s="338"/>
      <c r="G9" s="334" t="s">
        <v>1036</v>
      </c>
      <c r="H9" s="334"/>
      <c r="I9" s="334"/>
      <c r="J9" s="334"/>
      <c r="K9" s="334"/>
      <c r="Z9" s="345" t="str">
        <f>IF('parameters (do not delete)'!$D$13="Rural and urban areas covered with different packages","Y","N")</f>
        <v>N</v>
      </c>
    </row>
    <row r="10" spans="2:26" ht="14.4" customHeight="1" x14ac:dyDescent="0.5">
      <c r="B10" s="335"/>
      <c r="C10" s="341"/>
      <c r="D10" s="343"/>
      <c r="E10" s="338"/>
      <c r="G10" s="346"/>
      <c r="H10" s="346"/>
      <c r="I10" s="346"/>
      <c r="J10" s="346"/>
      <c r="K10" s="346"/>
      <c r="L10" s="346"/>
    </row>
    <row r="11" spans="2:26" x14ac:dyDescent="0.5">
      <c r="B11" s="335"/>
      <c r="C11" s="347" t="str">
        <f>"Total population ("&amp;baseline_year&amp;")"&amp;" " &amp;D4</f>
        <v xml:space="preserve">Total population () </v>
      </c>
      <c r="D11" s="348"/>
      <c r="E11" s="338"/>
      <c r="G11" s="579" t="s">
        <v>1060</v>
      </c>
      <c r="H11" s="579"/>
      <c r="I11" s="579"/>
      <c r="J11" s="579"/>
      <c r="K11" s="579"/>
      <c r="L11" s="346"/>
    </row>
    <row r="12" spans="2:26" x14ac:dyDescent="0.5">
      <c r="B12" s="335"/>
      <c r="E12" s="338"/>
    </row>
    <row r="13" spans="2:26" x14ac:dyDescent="0.5">
      <c r="B13" s="335"/>
      <c r="C13" s="347" t="s">
        <v>1042</v>
      </c>
      <c r="D13" s="348"/>
      <c r="E13" s="338"/>
      <c r="G13" s="334" t="s">
        <v>1046</v>
      </c>
      <c r="H13" s="334"/>
      <c r="I13" s="334"/>
      <c r="J13" s="334"/>
      <c r="K13" s="334"/>
    </row>
    <row r="14" spans="2:26" ht="15.65" customHeight="1" x14ac:dyDescent="0.5">
      <c r="B14" s="335"/>
      <c r="C14" s="336" t="s">
        <v>1064</v>
      </c>
      <c r="D14" s="349"/>
      <c r="E14" s="338"/>
      <c r="F14" s="350"/>
      <c r="G14" s="334" t="s">
        <v>1058</v>
      </c>
      <c r="H14" s="350"/>
      <c r="I14" s="350"/>
      <c r="J14" s="350"/>
    </row>
    <row r="15" spans="2:26" ht="15.65" customHeight="1" thickBot="1" x14ac:dyDescent="0.55000000000000004">
      <c r="B15" s="351"/>
      <c r="C15" s="352"/>
      <c r="D15" s="353"/>
      <c r="E15" s="354"/>
      <c r="G15" s="334"/>
      <c r="H15" s="334"/>
      <c r="I15" s="334"/>
      <c r="J15" s="334"/>
      <c r="K15" s="334"/>
    </row>
    <row r="16" spans="2:26" ht="15.65" customHeight="1" thickBot="1" x14ac:dyDescent="0.55000000000000004"/>
    <row r="17" spans="2:11" x14ac:dyDescent="0.5">
      <c r="B17" s="330" t="s">
        <v>1061</v>
      </c>
      <c r="C17" s="355"/>
      <c r="D17" s="356"/>
      <c r="E17" s="333"/>
    </row>
    <row r="18" spans="2:11" x14ac:dyDescent="0.5">
      <c r="B18" s="335"/>
      <c r="C18" s="357" t="s">
        <v>69</v>
      </c>
      <c r="D18" s="358" t="s">
        <v>70</v>
      </c>
      <c r="E18" s="338"/>
    </row>
    <row r="19" spans="2:11" x14ac:dyDescent="0.5">
      <c r="B19" s="359"/>
      <c r="C19" s="360"/>
      <c r="D19" s="361"/>
      <c r="E19" s="338"/>
      <c r="G19" s="579" t="s">
        <v>1066</v>
      </c>
      <c r="H19" s="579"/>
      <c r="I19" s="579"/>
      <c r="J19" s="579"/>
      <c r="K19" s="579"/>
    </row>
    <row r="20" spans="2:11" x14ac:dyDescent="0.5">
      <c r="B20" s="335"/>
      <c r="C20" s="362"/>
      <c r="D20" s="363"/>
      <c r="E20" s="338"/>
      <c r="G20" s="579"/>
      <c r="H20" s="579"/>
      <c r="I20" s="579"/>
      <c r="J20" s="579"/>
      <c r="K20" s="579"/>
    </row>
    <row r="21" spans="2:11" x14ac:dyDescent="0.5">
      <c r="B21" s="335"/>
      <c r="C21" s="362"/>
      <c r="D21" s="364"/>
      <c r="E21" s="338"/>
      <c r="G21" s="579"/>
      <c r="H21" s="579"/>
      <c r="I21" s="579"/>
      <c r="J21" s="579"/>
      <c r="K21" s="579"/>
    </row>
    <row r="22" spans="2:11" x14ac:dyDescent="0.5">
      <c r="B22" s="335"/>
      <c r="C22" s="362"/>
      <c r="D22" s="364"/>
      <c r="E22" s="338"/>
      <c r="G22" s="579"/>
      <c r="H22" s="579"/>
      <c r="I22" s="579"/>
      <c r="J22" s="579"/>
      <c r="K22" s="579"/>
    </row>
    <row r="23" spans="2:11" x14ac:dyDescent="0.5">
      <c r="B23" s="335"/>
      <c r="C23" s="362"/>
      <c r="D23" s="364"/>
      <c r="E23" s="338"/>
      <c r="G23" s="579"/>
      <c r="H23" s="579"/>
      <c r="I23" s="579"/>
      <c r="J23" s="579"/>
      <c r="K23" s="579"/>
    </row>
    <row r="24" spans="2:11" x14ac:dyDescent="0.5">
      <c r="B24" s="335"/>
      <c r="C24" s="362"/>
      <c r="D24" s="364"/>
      <c r="E24" s="338"/>
      <c r="G24" s="579"/>
      <c r="H24" s="579"/>
      <c r="I24" s="579"/>
      <c r="J24" s="579"/>
      <c r="K24" s="579"/>
    </row>
    <row r="25" spans="2:11" x14ac:dyDescent="0.5">
      <c r="B25" s="335"/>
      <c r="C25" s="362"/>
      <c r="D25" s="364"/>
      <c r="E25" s="338"/>
      <c r="G25" s="579"/>
      <c r="H25" s="579"/>
      <c r="I25" s="579"/>
      <c r="J25" s="579"/>
      <c r="K25" s="579"/>
    </row>
    <row r="26" spans="2:11" x14ac:dyDescent="0.5">
      <c r="B26" s="335"/>
      <c r="C26" s="362"/>
      <c r="D26" s="364"/>
      <c r="E26" s="338"/>
      <c r="G26" s="579"/>
      <c r="H26" s="579"/>
      <c r="I26" s="579"/>
      <c r="J26" s="579"/>
      <c r="K26" s="579"/>
    </row>
    <row r="27" spans="2:11" x14ac:dyDescent="0.5">
      <c r="B27" s="335"/>
      <c r="C27" s="362"/>
      <c r="D27" s="364"/>
      <c r="E27" s="338"/>
      <c r="G27" s="579"/>
      <c r="H27" s="579"/>
      <c r="I27" s="579"/>
      <c r="J27" s="579"/>
      <c r="K27" s="579"/>
    </row>
    <row r="28" spans="2:11" x14ac:dyDescent="0.5">
      <c r="B28" s="335"/>
      <c r="C28" s="451"/>
      <c r="D28" s="522"/>
      <c r="E28" s="338"/>
      <c r="G28" s="579"/>
      <c r="H28" s="579"/>
      <c r="I28" s="579"/>
      <c r="J28" s="579"/>
      <c r="K28" s="579"/>
    </row>
    <row r="29" spans="2:11" ht="16.3" thickBot="1" x14ac:dyDescent="0.55000000000000004">
      <c r="B29" s="351"/>
      <c r="C29" s="352"/>
      <c r="D29" s="352"/>
      <c r="E29" s="354"/>
    </row>
  </sheetData>
  <sheetProtection selectLockedCells="1"/>
  <mergeCells count="2">
    <mergeCell ref="G19:K28"/>
    <mergeCell ref="G11:K11"/>
  </mergeCells>
  <dataValidations count="3">
    <dataValidation type="whole" allowBlank="1" showInputMessage="1" showErrorMessage="1" error="Please enter a valid year." sqref="D9" xr:uid="{00000000-0002-0000-0200-000000000000}">
      <formula1>2000</formula1>
      <formula2>3000</formula2>
    </dataValidation>
    <dataValidation type="whole" allowBlank="1" showInputMessage="1" showErrorMessage="1" sqref="D11" xr:uid="{00000000-0002-0000-0200-000001000000}">
      <formula1>0</formula1>
      <formula2>9.99999999999999E+21</formula2>
    </dataValidation>
    <dataValidation type="list" allowBlank="1" showInputMessage="1" showErrorMessage="1" error="Please select a country using the drop-down menu." sqref="D5:D6" xr:uid="{00000000-0002-0000-0200-000002000000}">
      <formula1>country_list</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error="Please select a country using the drop-down menu." xr:uid="{00000000-0002-0000-0200-000003000000}">
          <x14:formula1>
            <xm:f>'CHW drop-downs'!$A$50:$A$51</xm:f>
          </x14:formula1>
          <xm:sqref>D7</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9" tint="-0.249977111117893"/>
  </sheetPr>
  <dimension ref="A1:AO56"/>
  <sheetViews>
    <sheetView showGridLines="0" tabSelected="1" zoomScale="40" zoomScaleNormal="40" workbookViewId="0">
      <selection activeCell="J11" sqref="H11:P40"/>
    </sheetView>
  </sheetViews>
  <sheetFormatPr defaultColWidth="9.07421875" defaultRowHeight="15.9" x14ac:dyDescent="0.5"/>
  <cols>
    <col min="1" max="1" width="10.4609375" style="387" customWidth="1"/>
    <col min="2" max="2" width="10.4609375" style="388" hidden="1" customWidth="1"/>
    <col min="3" max="4" width="10.4609375" style="387" hidden="1" customWidth="1"/>
    <col min="5" max="5" width="53.4609375" style="388" customWidth="1"/>
    <col min="6" max="6" width="27.84375" style="387" customWidth="1"/>
    <col min="7" max="16" width="9.07421875" style="387"/>
    <col min="17" max="17" width="112.84375" style="387" customWidth="1"/>
    <col min="18" max="16384" width="9.07421875" style="387"/>
  </cols>
  <sheetData>
    <row r="1" spans="1:41" ht="24" x14ac:dyDescent="0.8">
      <c r="E1" s="581" t="s">
        <v>1584</v>
      </c>
      <c r="F1" s="581"/>
      <c r="G1" s="581"/>
      <c r="H1" s="581"/>
      <c r="I1" s="581"/>
      <c r="J1" s="581"/>
      <c r="K1" s="581"/>
      <c r="L1" s="581"/>
      <c r="M1" s="581"/>
      <c r="N1" s="581"/>
      <c r="O1" s="581"/>
      <c r="P1" s="581"/>
      <c r="Q1" s="389"/>
      <c r="R1" s="389"/>
      <c r="S1" s="389"/>
      <c r="T1" s="389"/>
      <c r="U1" s="389"/>
      <c r="V1" s="389"/>
      <c r="W1" s="389"/>
      <c r="X1" s="389"/>
      <c r="Y1" s="389"/>
      <c r="Z1" s="389"/>
      <c r="AA1" s="389"/>
      <c r="AB1" s="389"/>
      <c r="AC1" s="389"/>
      <c r="AD1" s="389"/>
      <c r="AE1" s="389"/>
      <c r="AF1" s="389"/>
      <c r="AG1" s="389"/>
      <c r="AH1" s="389"/>
      <c r="AI1" s="389"/>
      <c r="AJ1" s="389"/>
      <c r="AK1" s="389"/>
      <c r="AL1" s="389"/>
      <c r="AM1" s="389"/>
      <c r="AN1" s="389"/>
      <c r="AO1" s="389"/>
    </row>
    <row r="2" spans="1:41" x14ac:dyDescent="0.5">
      <c r="A2" s="329"/>
      <c r="B2" s="388" t="s">
        <v>0</v>
      </c>
      <c r="C2" s="388" t="s">
        <v>1</v>
      </c>
      <c r="E2" s="388" t="s">
        <v>2</v>
      </c>
      <c r="F2" s="388"/>
    </row>
    <row r="3" spans="1:41" ht="14.4" customHeight="1" x14ac:dyDescent="0.5">
      <c r="B3" s="390" t="s">
        <v>3</v>
      </c>
      <c r="C3" s="391">
        <v>2</v>
      </c>
      <c r="E3" s="390" t="s">
        <v>4</v>
      </c>
      <c r="F3" s="392"/>
      <c r="H3" s="582" t="s">
        <v>1067</v>
      </c>
      <c r="I3" s="582"/>
      <c r="J3" s="582"/>
      <c r="K3" s="582"/>
      <c r="L3" s="582"/>
      <c r="M3" s="582"/>
      <c r="N3" s="582"/>
      <c r="O3" s="582"/>
      <c r="P3" s="582"/>
      <c r="Q3" s="582"/>
    </row>
    <row r="4" spans="1:41" x14ac:dyDescent="0.5">
      <c r="D4" s="393"/>
      <c r="E4" s="390" t="s">
        <v>5</v>
      </c>
      <c r="F4" s="394"/>
      <c r="H4" s="582"/>
      <c r="I4" s="582"/>
      <c r="J4" s="582"/>
      <c r="K4" s="582"/>
      <c r="L4" s="582"/>
      <c r="M4" s="582"/>
      <c r="N4" s="582"/>
      <c r="O4" s="582"/>
      <c r="P4" s="582"/>
      <c r="Q4" s="582"/>
    </row>
    <row r="5" spans="1:41" x14ac:dyDescent="0.5">
      <c r="B5" s="390" t="s">
        <v>7</v>
      </c>
      <c r="C5" s="391" t="s">
        <v>8</v>
      </c>
      <c r="D5" s="395"/>
      <c r="E5" s="390" t="s">
        <v>9</v>
      </c>
      <c r="F5" s="394"/>
      <c r="H5" s="582"/>
      <c r="I5" s="582"/>
      <c r="J5" s="582"/>
      <c r="K5" s="582"/>
      <c r="L5" s="582"/>
      <c r="M5" s="582"/>
      <c r="N5" s="582"/>
      <c r="O5" s="582"/>
      <c r="P5" s="582"/>
      <c r="Q5" s="582"/>
    </row>
    <row r="6" spans="1:41" x14ac:dyDescent="0.5">
      <c r="E6" s="390" t="s">
        <v>11</v>
      </c>
      <c r="F6" s="396"/>
      <c r="H6" s="582"/>
      <c r="I6" s="582"/>
      <c r="J6" s="582"/>
      <c r="K6" s="582"/>
      <c r="L6" s="582"/>
      <c r="M6" s="582"/>
      <c r="N6" s="582"/>
      <c r="O6" s="582"/>
      <c r="P6" s="582"/>
      <c r="Q6" s="582"/>
    </row>
    <row r="7" spans="1:41" x14ac:dyDescent="0.5">
      <c r="E7" s="390" t="s">
        <v>1569</v>
      </c>
      <c r="F7" s="397"/>
      <c r="H7" s="582"/>
      <c r="I7" s="582"/>
      <c r="J7" s="582"/>
      <c r="K7" s="582"/>
      <c r="L7" s="582"/>
      <c r="M7" s="582"/>
      <c r="N7" s="582"/>
      <c r="O7" s="582"/>
      <c r="P7" s="582"/>
      <c r="Q7" s="582"/>
    </row>
    <row r="8" spans="1:41" x14ac:dyDescent="0.5">
      <c r="E8" s="398"/>
      <c r="H8" s="389"/>
      <c r="I8" s="389"/>
      <c r="J8" s="389"/>
      <c r="K8" s="389"/>
      <c r="L8" s="389"/>
      <c r="M8" s="389"/>
      <c r="N8" s="389"/>
      <c r="O8" s="389"/>
      <c r="P8" s="389"/>
      <c r="Q8" s="389"/>
    </row>
    <row r="9" spans="1:41" x14ac:dyDescent="0.5">
      <c r="C9" s="399"/>
      <c r="F9" s="399"/>
    </row>
    <row r="10" spans="1:41" ht="17.399999999999999" customHeight="1" x14ac:dyDescent="0.5">
      <c r="B10" s="400" t="s">
        <v>13</v>
      </c>
      <c r="C10" s="401" t="s">
        <v>14</v>
      </c>
      <c r="E10" s="400" t="s">
        <v>13</v>
      </c>
      <c r="F10" s="401"/>
      <c r="H10" s="388" t="s">
        <v>1068</v>
      </c>
    </row>
    <row r="11" spans="1:41" x14ac:dyDescent="0.5">
      <c r="B11" s="402" t="s">
        <v>15</v>
      </c>
      <c r="E11" s="402" t="s">
        <v>15</v>
      </c>
      <c r="F11" s="403"/>
      <c r="H11" s="388"/>
    </row>
    <row r="12" spans="1:41" x14ac:dyDescent="0.5">
      <c r="B12" s="404" t="s">
        <v>17</v>
      </c>
      <c r="C12" s="405" t="s">
        <v>18</v>
      </c>
      <c r="E12" s="404" t="str">
        <f>"Travel time (" &amp; F3 &amp; ")"</f>
        <v>Travel time ()</v>
      </c>
      <c r="F12" s="406"/>
      <c r="H12" s="580"/>
      <c r="I12" s="580"/>
      <c r="J12" s="580"/>
      <c r="K12" s="580"/>
      <c r="L12" s="580"/>
      <c r="M12" s="580"/>
      <c r="N12" s="580"/>
      <c r="O12" s="580"/>
      <c r="P12" s="580"/>
    </row>
    <row r="13" spans="1:41" x14ac:dyDescent="0.5">
      <c r="B13" s="407" t="s">
        <v>19</v>
      </c>
      <c r="C13" s="396"/>
      <c r="E13" s="407" t="str">
        <f>"Administrative tasks (" &amp; F4 &amp; ")"</f>
        <v>Administrative tasks ()</v>
      </c>
      <c r="F13" s="406"/>
      <c r="H13" s="580"/>
      <c r="I13" s="580"/>
      <c r="J13" s="580"/>
      <c r="K13" s="580"/>
      <c r="L13" s="580"/>
      <c r="M13" s="580"/>
      <c r="N13" s="580"/>
      <c r="O13" s="580"/>
      <c r="P13" s="580"/>
      <c r="Y13" s="394">
        <f>IF(C2="Policy",'policy interact graph numbers'!BG7,C13)</f>
        <v>0</v>
      </c>
    </row>
    <row r="14" spans="1:41" x14ac:dyDescent="0.5">
      <c r="B14" s="407" t="s">
        <v>20</v>
      </c>
      <c r="C14" s="396">
        <v>1</v>
      </c>
      <c r="E14" s="407" t="str">
        <f>"Campaigns (" &amp; F5 &amp; ")"</f>
        <v>Campaigns ()</v>
      </c>
      <c r="F14" s="406"/>
      <c r="H14" s="580"/>
      <c r="I14" s="580"/>
      <c r="J14" s="580"/>
      <c r="K14" s="580"/>
      <c r="L14" s="580"/>
      <c r="M14" s="580"/>
      <c r="N14" s="580"/>
      <c r="O14" s="580"/>
      <c r="P14" s="580"/>
    </row>
    <row r="15" spans="1:41" x14ac:dyDescent="0.5">
      <c r="B15" s="407" t="s">
        <v>21</v>
      </c>
      <c r="C15" s="408">
        <v>0.05</v>
      </c>
      <c r="E15" s="407" t="str">
        <f>"Training (" &amp; F6 &amp; ")"</f>
        <v>Training ()</v>
      </c>
      <c r="F15" s="406"/>
      <c r="H15" s="580"/>
      <c r="I15" s="580"/>
      <c r="J15" s="580"/>
      <c r="K15" s="580"/>
      <c r="L15" s="580"/>
      <c r="M15" s="580"/>
      <c r="N15" s="580"/>
      <c r="O15" s="580"/>
      <c r="P15" s="580"/>
    </row>
    <row r="16" spans="1:41" x14ac:dyDescent="0.5">
      <c r="B16" s="409" t="s">
        <v>22</v>
      </c>
      <c r="C16" s="410"/>
      <c r="E16" s="402" t="str">
        <f>"Other Meetings (" &amp; F7 &amp; ")"</f>
        <v>Other Meetings ()</v>
      </c>
      <c r="F16" s="411"/>
      <c r="H16" s="580"/>
      <c r="I16" s="580"/>
      <c r="J16" s="580"/>
      <c r="K16" s="580"/>
      <c r="L16" s="580"/>
      <c r="M16" s="580"/>
      <c r="N16" s="580"/>
      <c r="O16" s="580"/>
      <c r="P16" s="580"/>
    </row>
    <row r="18" spans="2:25" x14ac:dyDescent="0.5">
      <c r="B18" s="400" t="s">
        <v>23</v>
      </c>
      <c r="C18" s="401" t="s">
        <v>24</v>
      </c>
      <c r="E18" s="400" t="s">
        <v>23</v>
      </c>
      <c r="F18" s="401"/>
    </row>
    <row r="19" spans="2:25" x14ac:dyDescent="0.5">
      <c r="B19" s="402" t="s">
        <v>15</v>
      </c>
      <c r="E19" s="402" t="s">
        <v>15</v>
      </c>
      <c r="F19" s="403"/>
    </row>
    <row r="20" spans="2:25" x14ac:dyDescent="0.5">
      <c r="B20" s="404" t="s">
        <v>17</v>
      </c>
      <c r="C20" s="405" t="s">
        <v>26</v>
      </c>
      <c r="E20" s="404" t="str">
        <f>E12</f>
        <v>Travel time ()</v>
      </c>
      <c r="F20" s="406"/>
      <c r="H20" s="580"/>
      <c r="I20" s="580"/>
      <c r="J20" s="580"/>
      <c r="K20" s="580"/>
      <c r="L20" s="580"/>
      <c r="M20" s="580"/>
      <c r="N20" s="580"/>
      <c r="O20" s="580"/>
      <c r="P20" s="580"/>
    </row>
    <row r="21" spans="2:25" ht="18" customHeight="1" x14ac:dyDescent="0.5">
      <c r="B21" s="407" t="s">
        <v>19</v>
      </c>
      <c r="E21" s="407" t="str">
        <f>E13</f>
        <v>Administrative tasks ()</v>
      </c>
      <c r="F21" s="406"/>
      <c r="H21" s="580"/>
      <c r="I21" s="580"/>
      <c r="J21" s="580"/>
      <c r="K21" s="580"/>
      <c r="L21" s="580"/>
      <c r="M21" s="580"/>
      <c r="N21" s="580"/>
      <c r="O21" s="580"/>
      <c r="P21" s="580"/>
      <c r="Y21" s="394">
        <f>IF(C2="Policy",'policy interact graph numbers'!BG8,C21)</f>
        <v>0</v>
      </c>
    </row>
    <row r="22" spans="2:25" ht="18" customHeight="1" x14ac:dyDescent="0.5">
      <c r="B22" s="407" t="s">
        <v>20</v>
      </c>
      <c r="C22" s="396">
        <v>1</v>
      </c>
      <c r="E22" s="407" t="str">
        <f>E14</f>
        <v>Campaigns ()</v>
      </c>
      <c r="F22" s="555"/>
      <c r="H22" s="580"/>
      <c r="I22" s="580"/>
      <c r="J22" s="580"/>
      <c r="K22" s="580"/>
      <c r="L22" s="580"/>
      <c r="M22" s="580"/>
      <c r="N22" s="580"/>
      <c r="O22" s="580"/>
      <c r="P22" s="580"/>
    </row>
    <row r="23" spans="2:25" ht="18" customHeight="1" x14ac:dyDescent="0.5">
      <c r="B23" s="407" t="s">
        <v>21</v>
      </c>
      <c r="C23" s="408">
        <v>0.05</v>
      </c>
      <c r="E23" s="407" t="str">
        <f>E15</f>
        <v>Training ()</v>
      </c>
      <c r="F23" s="406"/>
      <c r="H23" s="580"/>
      <c r="I23" s="580"/>
      <c r="J23" s="580"/>
      <c r="K23" s="580"/>
      <c r="L23" s="580"/>
      <c r="M23" s="580"/>
      <c r="N23" s="580"/>
      <c r="O23" s="580"/>
      <c r="P23" s="580"/>
    </row>
    <row r="24" spans="2:25" ht="18" customHeight="1" x14ac:dyDescent="0.5">
      <c r="B24" s="409" t="s">
        <v>22</v>
      </c>
      <c r="C24" s="410"/>
      <c r="E24" s="402" t="str">
        <f>E16</f>
        <v>Other Meetings ()</v>
      </c>
      <c r="F24" s="411"/>
      <c r="H24" s="580"/>
      <c r="I24" s="580"/>
      <c r="J24" s="580"/>
      <c r="K24" s="580"/>
      <c r="L24" s="580"/>
      <c r="M24" s="580"/>
      <c r="N24" s="580"/>
      <c r="O24" s="580"/>
      <c r="P24" s="580"/>
    </row>
    <row r="26" spans="2:25" x14ac:dyDescent="0.5">
      <c r="B26" s="400" t="s">
        <v>27</v>
      </c>
      <c r="C26" s="401"/>
      <c r="E26" s="400" t="s">
        <v>27</v>
      </c>
      <c r="F26" s="401"/>
    </row>
    <row r="27" spans="2:25" x14ac:dyDescent="0.5">
      <c r="B27" s="402" t="s">
        <v>15</v>
      </c>
      <c r="E27" s="402" t="s">
        <v>15</v>
      </c>
      <c r="F27" s="403"/>
    </row>
    <row r="28" spans="2:25" x14ac:dyDescent="0.5">
      <c r="B28" s="404" t="s">
        <v>17</v>
      </c>
      <c r="C28" s="405" t="s">
        <v>26</v>
      </c>
      <c r="E28" s="404" t="str">
        <f>E20</f>
        <v>Travel time ()</v>
      </c>
      <c r="F28" s="406"/>
      <c r="H28" s="580"/>
      <c r="I28" s="580"/>
      <c r="J28" s="580"/>
      <c r="K28" s="580"/>
      <c r="L28" s="580"/>
      <c r="M28" s="580"/>
      <c r="N28" s="580"/>
      <c r="O28" s="580"/>
      <c r="P28" s="580"/>
    </row>
    <row r="29" spans="2:25" ht="18" customHeight="1" x14ac:dyDescent="0.5">
      <c r="B29" s="407" t="s">
        <v>19</v>
      </c>
      <c r="E29" s="407" t="str">
        <f>E21</f>
        <v>Administrative tasks ()</v>
      </c>
      <c r="F29" s="406"/>
      <c r="H29" s="580"/>
      <c r="I29" s="580"/>
      <c r="J29" s="580"/>
      <c r="K29" s="580"/>
      <c r="L29" s="580"/>
      <c r="M29" s="580"/>
      <c r="N29" s="580"/>
      <c r="O29" s="580"/>
      <c r="P29" s="580"/>
      <c r="Y29" s="394">
        <f>IF(C2="Policy",'4. Policy Interactive Screen'!C8,C29)</f>
        <v>0</v>
      </c>
    </row>
    <row r="30" spans="2:25" ht="18" customHeight="1" x14ac:dyDescent="0.5">
      <c r="B30" s="407" t="s">
        <v>20</v>
      </c>
      <c r="C30" s="396"/>
      <c r="E30" s="407" t="str">
        <f>E22</f>
        <v>Campaigns ()</v>
      </c>
      <c r="F30" s="406"/>
      <c r="H30" s="580"/>
      <c r="I30" s="580"/>
      <c r="J30" s="580"/>
      <c r="K30" s="580"/>
      <c r="L30" s="580"/>
      <c r="M30" s="580"/>
      <c r="N30" s="580"/>
      <c r="O30" s="580"/>
      <c r="P30" s="580"/>
    </row>
    <row r="31" spans="2:25" x14ac:dyDescent="0.5">
      <c r="B31" s="407" t="s">
        <v>21</v>
      </c>
      <c r="C31" s="408"/>
      <c r="E31" s="407" t="str">
        <f>E23</f>
        <v>Training ()</v>
      </c>
      <c r="F31" s="406"/>
      <c r="H31" s="580"/>
      <c r="I31" s="580"/>
      <c r="J31" s="580"/>
      <c r="K31" s="580"/>
      <c r="L31" s="580"/>
      <c r="M31" s="580"/>
      <c r="N31" s="580"/>
      <c r="O31" s="580"/>
      <c r="P31" s="580"/>
    </row>
    <row r="32" spans="2:25" ht="18" customHeight="1" x14ac:dyDescent="0.5">
      <c r="B32" s="409" t="s">
        <v>22</v>
      </c>
      <c r="C32" s="410">
        <f>'policy interact graph numbers'!BH9</f>
        <v>0</v>
      </c>
      <c r="E32" s="402" t="str">
        <f>E24</f>
        <v>Other Meetings ()</v>
      </c>
      <c r="F32" s="411"/>
      <c r="H32" s="580"/>
      <c r="I32" s="580"/>
      <c r="J32" s="580"/>
      <c r="K32" s="580"/>
      <c r="L32" s="580"/>
      <c r="M32" s="580"/>
      <c r="N32" s="580"/>
      <c r="O32" s="580"/>
      <c r="P32" s="580"/>
    </row>
    <row r="34" spans="2:25" x14ac:dyDescent="0.5">
      <c r="B34" s="400" t="s">
        <v>28</v>
      </c>
      <c r="C34" s="401"/>
      <c r="E34" s="400" t="s">
        <v>28</v>
      </c>
      <c r="F34" s="401"/>
    </row>
    <row r="35" spans="2:25" x14ac:dyDescent="0.5">
      <c r="B35" s="402" t="s">
        <v>15</v>
      </c>
      <c r="E35" s="402" t="s">
        <v>15</v>
      </c>
      <c r="F35" s="403"/>
    </row>
    <row r="36" spans="2:25" x14ac:dyDescent="0.5">
      <c r="B36" s="404" t="s">
        <v>17</v>
      </c>
      <c r="C36" s="405" t="s">
        <v>26</v>
      </c>
      <c r="E36" s="404" t="str">
        <f>E28</f>
        <v>Travel time ()</v>
      </c>
      <c r="F36" s="406"/>
      <c r="H36" s="580"/>
      <c r="I36" s="580"/>
      <c r="J36" s="580"/>
      <c r="K36" s="580"/>
      <c r="L36" s="580"/>
      <c r="M36" s="580"/>
      <c r="N36" s="580"/>
      <c r="O36" s="580"/>
      <c r="P36" s="580"/>
    </row>
    <row r="37" spans="2:25" x14ac:dyDescent="0.5">
      <c r="B37" s="407" t="s">
        <v>19</v>
      </c>
      <c r="E37" s="407" t="str">
        <f>E29</f>
        <v>Administrative tasks ()</v>
      </c>
      <c r="F37" s="406"/>
      <c r="H37" s="580"/>
      <c r="I37" s="580"/>
      <c r="J37" s="580"/>
      <c r="K37" s="580"/>
      <c r="L37" s="580"/>
      <c r="M37" s="580"/>
      <c r="N37" s="580"/>
      <c r="O37" s="580"/>
      <c r="P37" s="580"/>
      <c r="Y37" s="394">
        <f>IF(C2="Policy",'4. Policy Interactive Screen'!C9,C37)</f>
        <v>0</v>
      </c>
    </row>
    <row r="38" spans="2:25" x14ac:dyDescent="0.5">
      <c r="B38" s="407" t="s">
        <v>20</v>
      </c>
      <c r="C38" s="396"/>
      <c r="E38" s="407" t="str">
        <f>E30</f>
        <v>Campaigns ()</v>
      </c>
      <c r="F38" s="406"/>
      <c r="H38" s="580"/>
      <c r="I38" s="580"/>
      <c r="J38" s="580"/>
      <c r="K38" s="580"/>
      <c r="L38" s="580"/>
      <c r="M38" s="580"/>
      <c r="N38" s="580"/>
      <c r="O38" s="580"/>
      <c r="P38" s="580"/>
    </row>
    <row r="39" spans="2:25" x14ac:dyDescent="0.5">
      <c r="B39" s="407" t="s">
        <v>21</v>
      </c>
      <c r="C39" s="408"/>
      <c r="E39" s="407" t="str">
        <f>E31</f>
        <v>Training ()</v>
      </c>
      <c r="F39" s="406"/>
      <c r="H39" s="580"/>
      <c r="I39" s="580"/>
      <c r="J39" s="580"/>
      <c r="K39" s="580"/>
      <c r="L39" s="580"/>
      <c r="M39" s="580"/>
      <c r="N39" s="580"/>
      <c r="O39" s="580"/>
      <c r="P39" s="580"/>
    </row>
    <row r="40" spans="2:25" x14ac:dyDescent="0.5">
      <c r="B40" s="409" t="s">
        <v>22</v>
      </c>
      <c r="C40" s="410">
        <f>'policy interact graph numbers'!BH10</f>
        <v>0</v>
      </c>
      <c r="E40" s="402" t="str">
        <f>E32</f>
        <v>Other Meetings ()</v>
      </c>
      <c r="F40" s="411"/>
      <c r="H40" s="580"/>
      <c r="I40" s="580"/>
      <c r="J40" s="580"/>
      <c r="K40" s="580"/>
      <c r="L40" s="580"/>
      <c r="M40" s="580"/>
      <c r="N40" s="580"/>
      <c r="O40" s="580"/>
      <c r="P40" s="580"/>
    </row>
    <row r="42" spans="2:25" x14ac:dyDescent="0.5">
      <c r="B42" s="400" t="s">
        <v>29</v>
      </c>
      <c r="C42" s="401"/>
      <c r="E42" s="400" t="s">
        <v>29</v>
      </c>
      <c r="F42" s="401"/>
    </row>
    <row r="43" spans="2:25" x14ac:dyDescent="0.5">
      <c r="B43" s="402" t="s">
        <v>15</v>
      </c>
      <c r="E43" s="402" t="s">
        <v>15</v>
      </c>
      <c r="F43" s="403"/>
    </row>
    <row r="44" spans="2:25" x14ac:dyDescent="0.5">
      <c r="B44" s="404" t="s">
        <v>17</v>
      </c>
      <c r="C44" s="405" t="s">
        <v>26</v>
      </c>
      <c r="E44" s="404" t="str">
        <f>E36</f>
        <v>Travel time ()</v>
      </c>
      <c r="F44" s="406"/>
      <c r="H44" s="580"/>
      <c r="I44" s="580"/>
      <c r="J44" s="580"/>
      <c r="K44" s="580"/>
      <c r="L44" s="580"/>
      <c r="M44" s="580"/>
      <c r="N44" s="580"/>
      <c r="O44" s="580"/>
      <c r="P44" s="580"/>
    </row>
    <row r="45" spans="2:25" x14ac:dyDescent="0.5">
      <c r="B45" s="407" t="s">
        <v>19</v>
      </c>
      <c r="E45" s="407" t="str">
        <f>E37</f>
        <v>Administrative tasks ()</v>
      </c>
      <c r="F45" s="406"/>
      <c r="H45" s="580"/>
      <c r="I45" s="580"/>
      <c r="J45" s="580"/>
      <c r="K45" s="580"/>
      <c r="L45" s="580"/>
      <c r="M45" s="580"/>
      <c r="N45" s="580"/>
      <c r="O45" s="580"/>
      <c r="P45" s="580"/>
      <c r="Y45" s="394">
        <f>IF(C2="Policy",'4. Policy Interactive Screen'!C10,C45)</f>
        <v>0</v>
      </c>
    </row>
    <row r="46" spans="2:25" x14ac:dyDescent="0.5">
      <c r="B46" s="407" t="s">
        <v>20</v>
      </c>
      <c r="C46" s="396"/>
      <c r="E46" s="407" t="str">
        <f>E38</f>
        <v>Campaigns ()</v>
      </c>
      <c r="F46" s="406"/>
      <c r="H46" s="580"/>
      <c r="I46" s="580"/>
      <c r="J46" s="580"/>
      <c r="K46" s="580"/>
      <c r="L46" s="580"/>
      <c r="M46" s="580"/>
      <c r="N46" s="580"/>
      <c r="O46" s="580"/>
      <c r="P46" s="580"/>
    </row>
    <row r="47" spans="2:25" x14ac:dyDescent="0.5">
      <c r="B47" s="407" t="s">
        <v>21</v>
      </c>
      <c r="C47" s="408"/>
      <c r="E47" s="407" t="str">
        <f>E39</f>
        <v>Training ()</v>
      </c>
      <c r="F47" s="406"/>
      <c r="H47" s="580"/>
      <c r="I47" s="580"/>
      <c r="J47" s="580"/>
      <c r="K47" s="580"/>
      <c r="L47" s="580"/>
      <c r="M47" s="580"/>
      <c r="N47" s="580"/>
      <c r="O47" s="580"/>
      <c r="P47" s="580"/>
    </row>
    <row r="48" spans="2:25" x14ac:dyDescent="0.5">
      <c r="B48" s="409" t="s">
        <v>22</v>
      </c>
      <c r="C48" s="410">
        <f>'policy interact graph numbers'!BH11</f>
        <v>0</v>
      </c>
      <c r="E48" s="402" t="str">
        <f>E40</f>
        <v>Other Meetings ()</v>
      </c>
      <c r="F48" s="411"/>
      <c r="H48" s="580"/>
      <c r="I48" s="580"/>
      <c r="J48" s="580"/>
      <c r="K48" s="580"/>
      <c r="L48" s="580"/>
      <c r="M48" s="580"/>
      <c r="N48" s="580"/>
      <c r="O48" s="580"/>
      <c r="P48" s="580"/>
    </row>
    <row r="50" spans="2:25" x14ac:dyDescent="0.5">
      <c r="B50" s="400" t="s">
        <v>30</v>
      </c>
      <c r="C50" s="401"/>
      <c r="E50" s="400" t="s">
        <v>30</v>
      </c>
      <c r="F50" s="401"/>
    </row>
    <row r="51" spans="2:25" x14ac:dyDescent="0.5">
      <c r="B51" s="402" t="s">
        <v>15</v>
      </c>
      <c r="E51" s="402" t="s">
        <v>15</v>
      </c>
      <c r="F51" s="403"/>
    </row>
    <row r="52" spans="2:25" x14ac:dyDescent="0.5">
      <c r="B52" s="404" t="s">
        <v>17</v>
      </c>
      <c r="C52" s="405" t="s">
        <v>26</v>
      </c>
      <c r="E52" s="404" t="str">
        <f>E44</f>
        <v>Travel time ()</v>
      </c>
      <c r="F52" s="406"/>
      <c r="H52" s="580"/>
      <c r="I52" s="580"/>
      <c r="J52" s="580"/>
      <c r="K52" s="580"/>
      <c r="L52" s="580"/>
      <c r="M52" s="580"/>
      <c r="N52" s="580"/>
      <c r="O52" s="580"/>
      <c r="P52" s="580"/>
    </row>
    <row r="53" spans="2:25" x14ac:dyDescent="0.5">
      <c r="B53" s="407" t="s">
        <v>19</v>
      </c>
      <c r="C53" s="394"/>
      <c r="E53" s="407" t="str">
        <f>E45</f>
        <v>Administrative tasks ()</v>
      </c>
      <c r="F53" s="406"/>
      <c r="H53" s="580"/>
      <c r="I53" s="580"/>
      <c r="J53" s="580"/>
      <c r="K53" s="580"/>
      <c r="L53" s="580"/>
      <c r="M53" s="580"/>
      <c r="N53" s="580"/>
      <c r="O53" s="580"/>
      <c r="P53" s="580"/>
      <c r="Y53" s="394">
        <f>IF(C2="Policy",'4. Policy Interactive Screen'!C11,C53)</f>
        <v>0</v>
      </c>
    </row>
    <row r="54" spans="2:25" x14ac:dyDescent="0.5">
      <c r="B54" s="407" t="s">
        <v>20</v>
      </c>
      <c r="C54" s="396"/>
      <c r="E54" s="407" t="str">
        <f>E46</f>
        <v>Campaigns ()</v>
      </c>
      <c r="F54" s="406"/>
      <c r="H54" s="580"/>
      <c r="I54" s="580"/>
      <c r="J54" s="580"/>
      <c r="K54" s="580"/>
      <c r="L54" s="580"/>
      <c r="M54" s="580"/>
      <c r="N54" s="580"/>
      <c r="O54" s="580"/>
      <c r="P54" s="580"/>
    </row>
    <row r="55" spans="2:25" x14ac:dyDescent="0.5">
      <c r="B55" s="407" t="s">
        <v>21</v>
      </c>
      <c r="C55" s="408"/>
      <c r="E55" s="407" t="str">
        <f>E47</f>
        <v>Training ()</v>
      </c>
      <c r="F55" s="406"/>
      <c r="H55" s="580"/>
      <c r="I55" s="580"/>
      <c r="J55" s="580"/>
      <c r="K55" s="580"/>
      <c r="L55" s="580"/>
      <c r="M55" s="580"/>
      <c r="N55" s="580"/>
      <c r="O55" s="580"/>
      <c r="P55" s="580"/>
    </row>
    <row r="56" spans="2:25" x14ac:dyDescent="0.5">
      <c r="B56" s="409" t="s">
        <v>22</v>
      </c>
      <c r="C56" s="410">
        <f>'policy interact graph numbers'!BH12</f>
        <v>0</v>
      </c>
      <c r="E56" s="402" t="str">
        <f>E48</f>
        <v>Other Meetings ()</v>
      </c>
      <c r="F56" s="411"/>
      <c r="H56" s="580"/>
      <c r="I56" s="580"/>
      <c r="J56" s="580"/>
      <c r="K56" s="580"/>
      <c r="L56" s="580"/>
      <c r="M56" s="580"/>
      <c r="N56" s="580"/>
      <c r="O56" s="580"/>
      <c r="P56" s="580"/>
    </row>
  </sheetData>
  <sheetProtection selectLockedCells="1"/>
  <mergeCells count="32">
    <mergeCell ref="E1:P1"/>
    <mergeCell ref="H48:P48"/>
    <mergeCell ref="H53:P53"/>
    <mergeCell ref="H54:P54"/>
    <mergeCell ref="H55:P55"/>
    <mergeCell ref="H30:P30"/>
    <mergeCell ref="H31:P31"/>
    <mergeCell ref="H32:P32"/>
    <mergeCell ref="H37:P37"/>
    <mergeCell ref="H38:P38"/>
    <mergeCell ref="H21:P21"/>
    <mergeCell ref="H22:P22"/>
    <mergeCell ref="H23:P23"/>
    <mergeCell ref="H24:P24"/>
    <mergeCell ref="H29:P29"/>
    <mergeCell ref="H3:Q7"/>
    <mergeCell ref="H56:P56"/>
    <mergeCell ref="H39:P39"/>
    <mergeCell ref="H40:P40"/>
    <mergeCell ref="H45:P45"/>
    <mergeCell ref="H46:P46"/>
    <mergeCell ref="H47:P47"/>
    <mergeCell ref="H52:P52"/>
    <mergeCell ref="H12:P12"/>
    <mergeCell ref="H20:P20"/>
    <mergeCell ref="H28:P28"/>
    <mergeCell ref="H36:P36"/>
    <mergeCell ref="H44:P44"/>
    <mergeCell ref="H13:P13"/>
    <mergeCell ref="H14:P14"/>
    <mergeCell ref="H15:P15"/>
    <mergeCell ref="H16:P16"/>
  </mergeCells>
  <conditionalFormatting sqref="C12">
    <cfRule type="expression" dxfId="183" priority="6">
      <formula>urban_rural="N"</formula>
    </cfRule>
  </conditionalFormatting>
  <conditionalFormatting sqref="C20">
    <cfRule type="expression" dxfId="182" priority="5">
      <formula>urban_rural="N"</formula>
    </cfRule>
  </conditionalFormatting>
  <dataValidations count="3">
    <dataValidation type="list" allowBlank="1" showInputMessage="1" showErrorMessage="1" sqref="C52 C12 C28 C36 C44 C20" xr:uid="{00000000-0002-0000-0300-000000000000}">
      <formula1>"Urban, Rural"</formula1>
    </dataValidation>
    <dataValidation type="list" allowBlank="1" showInputMessage="1" showErrorMessage="1" sqref="C5" xr:uid="{00000000-0002-0000-0300-000001000000}">
      <formula1>"CHW per Population, CHW per Community, Manual Entry"</formula1>
    </dataValidation>
    <dataValidation type="list" allowBlank="1" showInputMessage="1" showErrorMessage="1" error="Please make a selection using the drop-down menu. Maximum number of CHWs allowable in the tool is 6." sqref="C3" xr:uid="{00000000-0002-0000-0300-000002000000}">
      <formula1>"1,2,3,4,5,6"</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300-000003000000}">
          <x14:formula1>
            <xm:f>'CHW drop-downs'!$A$3:$A$5</xm:f>
          </x14:formula1>
          <xm:sqref>F4</xm:sqref>
        </x14:dataValidation>
        <x14:dataValidation type="list" allowBlank="1" showInputMessage="1" showErrorMessage="1" xr:uid="{00000000-0002-0000-0300-000004000000}">
          <x14:formula1>
            <xm:f>'CHW drop-downs'!$A$12:$A$13</xm:f>
          </x14:formula1>
          <xm:sqref>F5:F6</xm:sqref>
        </x14:dataValidation>
        <x14:dataValidation type="list" allowBlank="1" showInputMessage="1" showErrorMessage="1" xr:uid="{00000000-0002-0000-0300-000005000000}">
          <x14:formula1>
            <xm:f>'CHW drop-downs'!$A$19:$A$24</xm:f>
          </x14:formula1>
          <xm:sqref>F7</xm:sqref>
        </x14:dataValidation>
        <x14:dataValidation type="list" allowBlank="1" showInputMessage="1" showErrorMessage="1" xr:uid="{00000000-0002-0000-0300-000006000000}">
          <x14:formula1>
            <xm:f>'CHW drop-downs'!$A$8:$A$10</xm:f>
          </x14:formula1>
          <xm:sqref>F3</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1">
    <tabColor theme="9" tint="-0.249977111117893"/>
  </sheetPr>
  <dimension ref="A1:N105"/>
  <sheetViews>
    <sheetView showGridLines="0" zoomScale="130" zoomScaleNormal="130" workbookViewId="0">
      <pane xSplit="3" ySplit="5" topLeftCell="D6" activePane="bottomRight" state="frozen"/>
      <selection pane="topRight" activeCell="D1" sqref="D1"/>
      <selection pane="bottomLeft" activeCell="A6" sqref="A6"/>
      <selection pane="bottomRight" activeCell="D10" sqref="D10"/>
    </sheetView>
  </sheetViews>
  <sheetFormatPr defaultColWidth="8.69140625" defaultRowHeight="15.9" x14ac:dyDescent="0.5"/>
  <cols>
    <col min="1" max="1" width="6.3046875" style="365" customWidth="1"/>
    <col min="2" max="2" width="36.84375" style="365" customWidth="1"/>
    <col min="3" max="3" width="9.84375" style="368" customWidth="1"/>
    <col min="4" max="4" width="20.4609375" style="368" bestFit="1" customWidth="1"/>
    <col min="5" max="5" width="13.84375" style="368" hidden="1" customWidth="1"/>
    <col min="6" max="6" width="13.4609375" style="368" hidden="1" customWidth="1"/>
    <col min="7" max="7" width="24.4609375" style="368" bestFit="1" customWidth="1"/>
    <col min="8" max="8" width="17.07421875" style="368" customWidth="1"/>
    <col min="9" max="9" width="13.3046875" style="365" customWidth="1"/>
    <col min="10" max="12" width="13.3046875" style="369" hidden="1" customWidth="1"/>
    <col min="13" max="13" width="16.4609375" style="369" hidden="1" customWidth="1"/>
    <col min="14" max="14" width="104.3046875" style="370" customWidth="1"/>
    <col min="15" max="18" width="8.69140625" style="365"/>
    <col min="19" max="19" width="67.3046875" style="365" customWidth="1"/>
    <col min="20" max="16384" width="8.69140625" style="365"/>
  </cols>
  <sheetData>
    <row r="1" spans="1:14" ht="24" x14ac:dyDescent="0.8">
      <c r="B1" s="366" t="s">
        <v>1588</v>
      </c>
      <c r="C1" s="367"/>
      <c r="G1" s="573"/>
      <c r="H1" s="574"/>
      <c r="I1" s="575"/>
      <c r="J1" s="365"/>
      <c r="K1" s="365"/>
      <c r="L1" s="365"/>
      <c r="M1" s="365"/>
    </row>
    <row r="2" spans="1:14" ht="24" x14ac:dyDescent="0.8">
      <c r="B2" s="371" t="s">
        <v>1585</v>
      </c>
      <c r="C2" s="371"/>
      <c r="D2" s="371"/>
      <c r="E2" s="371"/>
      <c r="F2" s="371"/>
      <c r="G2" s="371"/>
      <c r="H2" s="371"/>
      <c r="I2" s="371"/>
      <c r="N2" s="371"/>
    </row>
    <row r="3" spans="1:14" ht="16.3" thickBot="1" x14ac:dyDescent="0.55000000000000004"/>
    <row r="4" spans="1:14" ht="52.4" customHeight="1" thickBot="1" x14ac:dyDescent="0.55000000000000004">
      <c r="B4" s="372" t="s">
        <v>1062</v>
      </c>
      <c r="C4" s="373" t="s">
        <v>40</v>
      </c>
      <c r="D4" s="373" t="s">
        <v>41</v>
      </c>
      <c r="E4" s="373" t="s">
        <v>42</v>
      </c>
      <c r="F4" s="373" t="s">
        <v>43</v>
      </c>
      <c r="G4" s="374" t="s">
        <v>1566</v>
      </c>
      <c r="H4" s="374" t="s">
        <v>45</v>
      </c>
      <c r="I4" s="375" t="s">
        <v>46</v>
      </c>
      <c r="J4" s="376" t="s">
        <v>1056</v>
      </c>
      <c r="K4" s="376" t="s">
        <v>1056</v>
      </c>
      <c r="L4" s="376" t="s">
        <v>1056</v>
      </c>
      <c r="M4" s="376" t="s">
        <v>1056</v>
      </c>
      <c r="N4" s="375" t="s">
        <v>1063</v>
      </c>
    </row>
    <row r="5" spans="1:14" x14ac:dyDescent="0.5">
      <c r="A5" s="377"/>
      <c r="B5" s="378"/>
      <c r="C5" s="378"/>
      <c r="D5" s="378"/>
      <c r="E5" s="378"/>
      <c r="F5" s="378"/>
      <c r="G5" s="379"/>
      <c r="H5" s="379"/>
      <c r="I5" s="379"/>
    </row>
    <row r="6" spans="1:14" x14ac:dyDescent="0.5">
      <c r="A6" s="377">
        <v>1</v>
      </c>
      <c r="B6" s="380"/>
      <c r="C6" s="381"/>
      <c r="D6" s="382"/>
      <c r="E6" s="383"/>
      <c r="F6" s="383"/>
      <c r="G6" s="384"/>
      <c r="H6" s="382"/>
      <c r="I6" s="385"/>
      <c r="N6" s="386"/>
    </row>
    <row r="7" spans="1:14" x14ac:dyDescent="0.5">
      <c r="A7" s="377">
        <v>2</v>
      </c>
      <c r="B7" s="380"/>
      <c r="C7" s="381"/>
      <c r="D7" s="382"/>
      <c r="E7" s="383"/>
      <c r="F7" s="383"/>
      <c r="G7" s="384"/>
      <c r="H7" s="382"/>
      <c r="I7" s="385"/>
      <c r="N7" s="386"/>
    </row>
    <row r="8" spans="1:14" x14ac:dyDescent="0.5">
      <c r="A8" s="377">
        <v>3</v>
      </c>
      <c r="B8" s="380"/>
      <c r="C8" s="381"/>
      <c r="D8" s="382"/>
      <c r="E8" s="383"/>
      <c r="F8" s="383"/>
      <c r="G8" s="384"/>
      <c r="H8" s="382"/>
      <c r="I8" s="385"/>
      <c r="N8" s="386"/>
    </row>
    <row r="9" spans="1:14" x14ac:dyDescent="0.5">
      <c r="A9" s="377">
        <v>4</v>
      </c>
      <c r="B9" s="380"/>
      <c r="C9" s="381"/>
      <c r="D9" s="382"/>
      <c r="E9" s="383"/>
      <c r="F9" s="383"/>
      <c r="G9" s="384"/>
      <c r="H9" s="382"/>
      <c r="I9" s="385"/>
      <c r="N9" s="386"/>
    </row>
    <row r="10" spans="1:14" x14ac:dyDescent="0.5">
      <c r="A10" s="377">
        <v>5</v>
      </c>
      <c r="B10" s="380"/>
      <c r="C10" s="381"/>
      <c r="D10" s="382"/>
      <c r="E10" s="383"/>
      <c r="F10" s="383"/>
      <c r="G10" s="384"/>
      <c r="H10" s="382"/>
      <c r="I10" s="385"/>
      <c r="N10" s="386"/>
    </row>
    <row r="11" spans="1:14" x14ac:dyDescent="0.5">
      <c r="A11" s="377">
        <v>6</v>
      </c>
      <c r="B11" s="380"/>
      <c r="C11" s="381"/>
      <c r="D11" s="382"/>
      <c r="E11" s="383"/>
      <c r="F11" s="383"/>
      <c r="G11" s="384"/>
      <c r="H11" s="382"/>
      <c r="I11" s="385"/>
      <c r="N11" s="386"/>
    </row>
    <row r="12" spans="1:14" x14ac:dyDescent="0.5">
      <c r="A12" s="377">
        <v>7</v>
      </c>
      <c r="B12" s="380"/>
      <c r="C12" s="381"/>
      <c r="D12" s="382"/>
      <c r="E12" s="383"/>
      <c r="F12" s="383"/>
      <c r="G12" s="384"/>
      <c r="H12" s="382"/>
      <c r="I12" s="385"/>
      <c r="N12" s="386"/>
    </row>
    <row r="13" spans="1:14" x14ac:dyDescent="0.5">
      <c r="A13" s="377">
        <v>8</v>
      </c>
      <c r="B13" s="380"/>
      <c r="C13" s="381"/>
      <c r="D13" s="382"/>
      <c r="E13" s="383"/>
      <c r="F13" s="383"/>
      <c r="G13" s="384"/>
      <c r="H13" s="382"/>
      <c r="I13" s="385"/>
      <c r="N13" s="386"/>
    </row>
    <row r="14" spans="1:14" x14ac:dyDescent="0.5">
      <c r="A14" s="377">
        <v>9</v>
      </c>
      <c r="B14" s="380"/>
      <c r="C14" s="381"/>
      <c r="D14" s="382"/>
      <c r="E14" s="383"/>
      <c r="F14" s="383"/>
      <c r="G14" s="384"/>
      <c r="H14" s="382"/>
      <c r="I14" s="385"/>
      <c r="N14" s="386"/>
    </row>
    <row r="15" spans="1:14" x14ac:dyDescent="0.5">
      <c r="A15" s="377">
        <v>10</v>
      </c>
      <c r="B15" s="380"/>
      <c r="C15" s="381"/>
      <c r="D15" s="382"/>
      <c r="E15" s="383"/>
      <c r="F15" s="383"/>
      <c r="G15" s="384"/>
      <c r="H15" s="382"/>
      <c r="I15" s="385"/>
      <c r="N15" s="386"/>
    </row>
    <row r="16" spans="1:14" x14ac:dyDescent="0.5">
      <c r="A16" s="377">
        <v>11</v>
      </c>
      <c r="B16" s="380"/>
      <c r="C16" s="381"/>
      <c r="D16" s="382"/>
      <c r="E16" s="383"/>
      <c r="F16" s="383"/>
      <c r="G16" s="543"/>
      <c r="H16" s="382"/>
      <c r="I16" s="385"/>
      <c r="N16" s="386"/>
    </row>
    <row r="17" spans="1:14" x14ac:dyDescent="0.5">
      <c r="A17" s="377">
        <v>12</v>
      </c>
      <c r="B17" s="380"/>
      <c r="C17" s="381"/>
      <c r="D17" s="382"/>
      <c r="E17" s="383"/>
      <c r="F17" s="383"/>
      <c r="G17" s="543"/>
      <c r="H17" s="382"/>
      <c r="I17" s="385"/>
      <c r="N17" s="544"/>
    </row>
    <row r="18" spans="1:14" x14ac:dyDescent="0.5">
      <c r="A18" s="377">
        <v>13</v>
      </c>
      <c r="B18" s="380"/>
      <c r="C18" s="381"/>
      <c r="D18" s="382"/>
      <c r="E18" s="383"/>
      <c r="F18" s="383"/>
      <c r="G18" s="384"/>
      <c r="H18" s="382"/>
      <c r="I18" s="385"/>
      <c r="N18" s="386"/>
    </row>
    <row r="19" spans="1:14" x14ac:dyDescent="0.5">
      <c r="A19" s="377">
        <v>14</v>
      </c>
      <c r="B19" s="380"/>
      <c r="C19" s="381"/>
      <c r="D19" s="382"/>
      <c r="E19" s="383"/>
      <c r="F19" s="383"/>
      <c r="G19" s="384"/>
      <c r="H19" s="382"/>
      <c r="I19" s="385"/>
      <c r="N19" s="386"/>
    </row>
    <row r="20" spans="1:14" x14ac:dyDescent="0.5">
      <c r="A20" s="377">
        <v>15</v>
      </c>
      <c r="B20" s="380"/>
      <c r="C20" s="381"/>
      <c r="D20" s="382"/>
      <c r="E20" s="383"/>
      <c r="F20" s="383"/>
      <c r="G20" s="384"/>
      <c r="H20" s="382"/>
      <c r="I20" s="385"/>
      <c r="N20" s="544"/>
    </row>
    <row r="21" spans="1:14" x14ac:dyDescent="0.5">
      <c r="A21" s="377">
        <v>16</v>
      </c>
      <c r="B21" s="380"/>
      <c r="C21" s="381"/>
      <c r="D21" s="382"/>
      <c r="E21" s="383"/>
      <c r="F21" s="383"/>
      <c r="G21" s="384"/>
      <c r="H21" s="382"/>
      <c r="I21" s="385"/>
      <c r="N21" s="544"/>
    </row>
    <row r="22" spans="1:14" x14ac:dyDescent="0.5">
      <c r="A22" s="377">
        <v>17</v>
      </c>
      <c r="B22" s="380"/>
      <c r="C22" s="381"/>
      <c r="D22" s="382"/>
      <c r="E22" s="383"/>
      <c r="F22" s="383"/>
      <c r="G22" s="384"/>
      <c r="H22" s="382"/>
      <c r="I22" s="385"/>
      <c r="N22" s="544"/>
    </row>
    <row r="23" spans="1:14" x14ac:dyDescent="0.5">
      <c r="A23" s="377">
        <v>18</v>
      </c>
      <c r="B23" s="380"/>
      <c r="C23" s="381"/>
      <c r="D23" s="382"/>
      <c r="E23" s="383"/>
      <c r="F23" s="383"/>
      <c r="G23" s="384"/>
      <c r="H23" s="382"/>
      <c r="I23" s="385"/>
      <c r="N23" s="386"/>
    </row>
    <row r="24" spans="1:14" x14ac:dyDescent="0.5">
      <c r="A24" s="377">
        <v>19</v>
      </c>
      <c r="B24" s="380"/>
      <c r="C24" s="381"/>
      <c r="D24" s="382"/>
      <c r="E24" s="383"/>
      <c r="F24" s="383"/>
      <c r="G24" s="384"/>
      <c r="H24" s="382"/>
      <c r="I24" s="385"/>
      <c r="N24" s="386"/>
    </row>
    <row r="25" spans="1:14" x14ac:dyDescent="0.5">
      <c r="A25" s="377">
        <v>20</v>
      </c>
      <c r="B25" s="380"/>
      <c r="C25" s="381"/>
      <c r="D25" s="382"/>
      <c r="E25" s="383"/>
      <c r="F25" s="383"/>
      <c r="G25" s="384"/>
      <c r="H25" s="382"/>
      <c r="I25" s="385"/>
      <c r="N25" s="386"/>
    </row>
    <row r="26" spans="1:14" x14ac:dyDescent="0.5">
      <c r="A26" s="377">
        <v>21</v>
      </c>
      <c r="B26" s="380"/>
      <c r="C26" s="381"/>
      <c r="D26" s="382"/>
      <c r="E26" s="383"/>
      <c r="F26" s="383"/>
      <c r="G26" s="384"/>
      <c r="H26" s="382"/>
      <c r="I26" s="385"/>
      <c r="N26" s="386"/>
    </row>
    <row r="27" spans="1:14" x14ac:dyDescent="0.5">
      <c r="A27" s="377">
        <v>22</v>
      </c>
      <c r="B27" s="380"/>
      <c r="C27" s="381"/>
      <c r="D27" s="382"/>
      <c r="E27" s="383"/>
      <c r="F27" s="383"/>
      <c r="G27" s="384"/>
      <c r="H27" s="382"/>
      <c r="I27" s="385"/>
      <c r="N27" s="386"/>
    </row>
    <row r="28" spans="1:14" x14ac:dyDescent="0.5">
      <c r="A28" s="377">
        <v>23</v>
      </c>
      <c r="B28" s="380"/>
      <c r="C28" s="381"/>
      <c r="D28" s="382"/>
      <c r="E28" s="383"/>
      <c r="F28" s="383"/>
      <c r="G28" s="384"/>
      <c r="H28" s="382"/>
      <c r="I28" s="385"/>
      <c r="N28" s="386"/>
    </row>
    <row r="29" spans="1:14" x14ac:dyDescent="0.5">
      <c r="A29" s="377">
        <v>24</v>
      </c>
      <c r="B29" s="380"/>
      <c r="C29" s="381"/>
      <c r="D29" s="382"/>
      <c r="E29" s="383"/>
      <c r="F29" s="383"/>
      <c r="G29" s="384"/>
      <c r="H29" s="382"/>
      <c r="I29" s="385"/>
      <c r="N29" s="386"/>
    </row>
    <row r="30" spans="1:14" x14ac:dyDescent="0.5">
      <c r="A30" s="377">
        <v>25</v>
      </c>
      <c r="B30" s="380"/>
      <c r="C30" s="381"/>
      <c r="D30" s="382"/>
      <c r="E30" s="383"/>
      <c r="F30" s="383"/>
      <c r="G30" s="384"/>
      <c r="H30" s="382"/>
      <c r="I30" s="385"/>
      <c r="N30" s="386"/>
    </row>
    <row r="31" spans="1:14" x14ac:dyDescent="0.5">
      <c r="A31" s="377">
        <v>26</v>
      </c>
      <c r="B31" s="380"/>
      <c r="C31" s="381"/>
      <c r="D31" s="382"/>
      <c r="E31" s="383"/>
      <c r="F31" s="383"/>
      <c r="G31" s="384"/>
      <c r="H31" s="382"/>
      <c r="I31" s="385"/>
      <c r="N31" s="386"/>
    </row>
    <row r="32" spans="1:14" x14ac:dyDescent="0.5">
      <c r="A32" s="377">
        <v>27</v>
      </c>
      <c r="B32" s="380"/>
      <c r="C32" s="381"/>
      <c r="D32" s="382"/>
      <c r="E32" s="383"/>
      <c r="F32" s="383"/>
      <c r="G32" s="384"/>
      <c r="H32" s="382"/>
      <c r="I32" s="385"/>
      <c r="N32" s="386"/>
    </row>
    <row r="33" spans="1:14" x14ac:dyDescent="0.5">
      <c r="A33" s="377">
        <v>28</v>
      </c>
      <c r="B33" s="380"/>
      <c r="C33" s="381"/>
      <c r="D33" s="382"/>
      <c r="E33" s="383"/>
      <c r="F33" s="383"/>
      <c r="G33" s="384"/>
      <c r="H33" s="382"/>
      <c r="I33" s="385"/>
      <c r="N33" s="386"/>
    </row>
    <row r="34" spans="1:14" x14ac:dyDescent="0.5">
      <c r="A34" s="377">
        <v>29</v>
      </c>
      <c r="B34" s="380"/>
      <c r="C34" s="381"/>
      <c r="D34" s="382"/>
      <c r="E34" s="383"/>
      <c r="F34" s="383"/>
      <c r="G34" s="384"/>
      <c r="H34" s="382"/>
      <c r="I34" s="385"/>
      <c r="N34" s="386"/>
    </row>
    <row r="35" spans="1:14" x14ac:dyDescent="0.5">
      <c r="A35" s="377">
        <v>30</v>
      </c>
      <c r="B35" s="380"/>
      <c r="C35" s="381"/>
      <c r="D35" s="382"/>
      <c r="E35" s="383"/>
      <c r="F35" s="383"/>
      <c r="G35" s="384"/>
      <c r="H35" s="382"/>
      <c r="I35" s="385"/>
      <c r="N35" s="386"/>
    </row>
    <row r="36" spans="1:14" x14ac:dyDescent="0.5">
      <c r="A36" s="377">
        <v>31</v>
      </c>
      <c r="B36" s="380"/>
      <c r="C36" s="381"/>
      <c r="D36" s="382"/>
      <c r="E36" s="383"/>
      <c r="F36" s="383"/>
      <c r="G36" s="384"/>
      <c r="H36" s="382"/>
      <c r="I36" s="385"/>
      <c r="N36" s="386"/>
    </row>
    <row r="37" spans="1:14" x14ac:dyDescent="0.5">
      <c r="A37" s="377">
        <v>32</v>
      </c>
      <c r="B37" s="380"/>
      <c r="C37" s="381"/>
      <c r="D37" s="382"/>
      <c r="E37" s="383"/>
      <c r="F37" s="383"/>
      <c r="G37" s="384"/>
      <c r="H37" s="382"/>
      <c r="I37" s="385"/>
      <c r="N37" s="386"/>
    </row>
    <row r="38" spans="1:14" x14ac:dyDescent="0.5">
      <c r="A38" s="377">
        <v>33</v>
      </c>
      <c r="B38" s="380"/>
      <c r="C38" s="381"/>
      <c r="D38" s="382"/>
      <c r="E38" s="383"/>
      <c r="F38" s="383"/>
      <c r="G38" s="384"/>
      <c r="H38" s="382"/>
      <c r="I38" s="385"/>
      <c r="N38" s="386"/>
    </row>
    <row r="39" spans="1:14" x14ac:dyDescent="0.5">
      <c r="A39" s="377">
        <v>34</v>
      </c>
      <c r="B39" s="380"/>
      <c r="C39" s="381"/>
      <c r="D39" s="382"/>
      <c r="E39" s="383"/>
      <c r="F39" s="383"/>
      <c r="G39" s="384"/>
      <c r="H39" s="382"/>
      <c r="I39" s="385"/>
      <c r="N39" s="386"/>
    </row>
    <row r="40" spans="1:14" x14ac:dyDescent="0.5">
      <c r="A40" s="377">
        <v>35</v>
      </c>
      <c r="B40" s="380"/>
      <c r="C40" s="381"/>
      <c r="D40" s="382"/>
      <c r="E40" s="383"/>
      <c r="F40" s="383"/>
      <c r="G40" s="384"/>
      <c r="H40" s="382"/>
      <c r="I40" s="385"/>
      <c r="N40" s="386"/>
    </row>
    <row r="41" spans="1:14" x14ac:dyDescent="0.5">
      <c r="A41" s="377">
        <v>36</v>
      </c>
      <c r="B41" s="380"/>
      <c r="C41" s="381"/>
      <c r="D41" s="382"/>
      <c r="E41" s="383"/>
      <c r="F41" s="383"/>
      <c r="G41" s="384"/>
      <c r="H41" s="382"/>
      <c r="I41" s="385"/>
      <c r="N41" s="386"/>
    </row>
    <row r="42" spans="1:14" x14ac:dyDescent="0.5">
      <c r="A42" s="377">
        <v>37</v>
      </c>
      <c r="B42" s="380"/>
      <c r="C42" s="381"/>
      <c r="D42" s="382"/>
      <c r="E42" s="383"/>
      <c r="F42" s="383"/>
      <c r="G42" s="384"/>
      <c r="H42" s="382"/>
      <c r="I42" s="385"/>
      <c r="N42" s="386"/>
    </row>
    <row r="43" spans="1:14" x14ac:dyDescent="0.5">
      <c r="A43" s="377">
        <v>38</v>
      </c>
      <c r="B43" s="380"/>
      <c r="C43" s="381"/>
      <c r="D43" s="382"/>
      <c r="E43" s="383"/>
      <c r="F43" s="383"/>
      <c r="G43" s="384"/>
      <c r="H43" s="542"/>
      <c r="I43" s="385"/>
      <c r="N43" s="544"/>
    </row>
    <row r="44" spans="1:14" x14ac:dyDescent="0.5">
      <c r="A44" s="377">
        <v>39</v>
      </c>
      <c r="B44" s="380"/>
      <c r="C44" s="381"/>
      <c r="D44" s="382"/>
      <c r="E44" s="383"/>
      <c r="F44" s="383"/>
      <c r="G44" s="384"/>
      <c r="H44" s="382"/>
      <c r="I44" s="385"/>
      <c r="N44" s="544"/>
    </row>
    <row r="45" spans="1:14" x14ac:dyDescent="0.5">
      <c r="A45" s="377">
        <v>40</v>
      </c>
      <c r="B45" s="380"/>
      <c r="C45" s="381"/>
      <c r="D45" s="382"/>
      <c r="E45" s="383"/>
      <c r="F45" s="383"/>
      <c r="G45" s="384"/>
      <c r="H45" s="382"/>
      <c r="I45" s="385"/>
      <c r="N45" s="386"/>
    </row>
    <row r="46" spans="1:14" x14ac:dyDescent="0.5">
      <c r="A46" s="377">
        <v>41</v>
      </c>
      <c r="B46" s="380"/>
      <c r="C46" s="381"/>
      <c r="D46" s="382"/>
      <c r="E46" s="383"/>
      <c r="F46" s="383"/>
      <c r="G46" s="384"/>
      <c r="H46" s="382"/>
      <c r="I46" s="385"/>
      <c r="N46" s="544"/>
    </row>
    <row r="47" spans="1:14" x14ac:dyDescent="0.5">
      <c r="A47" s="377">
        <v>42</v>
      </c>
      <c r="B47" s="380"/>
      <c r="C47" s="381"/>
      <c r="D47" s="382"/>
      <c r="E47" s="383"/>
      <c r="F47" s="383"/>
      <c r="G47" s="384"/>
      <c r="H47" s="382"/>
      <c r="I47" s="385"/>
      <c r="N47" s="386"/>
    </row>
    <row r="48" spans="1:14" x14ac:dyDescent="0.5">
      <c r="A48" s="377">
        <v>43</v>
      </c>
      <c r="B48" s="380"/>
      <c r="C48" s="381"/>
      <c r="D48" s="382"/>
      <c r="E48" s="383"/>
      <c r="F48" s="383"/>
      <c r="G48" s="384"/>
      <c r="H48" s="382"/>
      <c r="I48" s="385"/>
      <c r="N48" s="386"/>
    </row>
    <row r="49" spans="1:14" x14ac:dyDescent="0.5">
      <c r="A49" s="377">
        <v>44</v>
      </c>
      <c r="B49" s="380"/>
      <c r="C49" s="381"/>
      <c r="D49" s="382"/>
      <c r="E49" s="383"/>
      <c r="F49" s="383"/>
      <c r="G49" s="384"/>
      <c r="H49" s="382"/>
      <c r="I49" s="385"/>
      <c r="N49" s="386"/>
    </row>
    <row r="50" spans="1:14" x14ac:dyDescent="0.5">
      <c r="A50" s="377">
        <v>45</v>
      </c>
      <c r="B50" s="380"/>
      <c r="C50" s="381"/>
      <c r="D50" s="382"/>
      <c r="E50" s="383"/>
      <c r="F50" s="383"/>
      <c r="G50" s="384"/>
      <c r="H50" s="382"/>
      <c r="I50" s="385"/>
      <c r="N50" s="386"/>
    </row>
    <row r="51" spans="1:14" x14ac:dyDescent="0.5">
      <c r="A51" s="377">
        <v>46</v>
      </c>
      <c r="B51" s="380"/>
      <c r="C51" s="381"/>
      <c r="D51" s="382"/>
      <c r="E51" s="383"/>
      <c r="F51" s="383"/>
      <c r="G51" s="384"/>
      <c r="H51" s="382"/>
      <c r="I51" s="385"/>
      <c r="N51" s="386"/>
    </row>
    <row r="52" spans="1:14" x14ac:dyDescent="0.5">
      <c r="A52" s="377">
        <v>47</v>
      </c>
      <c r="B52" s="380"/>
      <c r="C52" s="381"/>
      <c r="D52" s="382"/>
      <c r="E52" s="383"/>
      <c r="F52" s="383"/>
      <c r="G52" s="384"/>
      <c r="H52" s="382"/>
      <c r="I52" s="385"/>
      <c r="N52" s="386"/>
    </row>
    <row r="53" spans="1:14" x14ac:dyDescent="0.5">
      <c r="A53" s="377">
        <v>48</v>
      </c>
      <c r="B53" s="380"/>
      <c r="C53" s="381"/>
      <c r="D53" s="382"/>
      <c r="E53" s="383"/>
      <c r="F53" s="383"/>
      <c r="G53" s="384"/>
      <c r="H53" s="382"/>
      <c r="I53" s="385"/>
      <c r="N53" s="386"/>
    </row>
    <row r="54" spans="1:14" x14ac:dyDescent="0.5">
      <c r="A54" s="377">
        <v>49</v>
      </c>
      <c r="B54" s="380"/>
      <c r="C54" s="381"/>
      <c r="D54" s="382"/>
      <c r="E54" s="383"/>
      <c r="F54" s="383"/>
      <c r="G54" s="384"/>
      <c r="H54" s="382"/>
      <c r="I54" s="385"/>
      <c r="N54" s="386"/>
    </row>
    <row r="55" spans="1:14" x14ac:dyDescent="0.5">
      <c r="A55" s="377">
        <v>50</v>
      </c>
      <c r="B55" s="380"/>
      <c r="C55" s="381"/>
      <c r="D55" s="382"/>
      <c r="E55" s="383"/>
      <c r="F55" s="383"/>
      <c r="G55" s="384"/>
      <c r="H55" s="382"/>
      <c r="I55" s="385"/>
      <c r="N55" s="386"/>
    </row>
    <row r="56" spans="1:14" x14ac:dyDescent="0.5">
      <c r="A56" s="377">
        <v>51</v>
      </c>
      <c r="B56" s="380"/>
      <c r="C56" s="381"/>
      <c r="D56" s="382"/>
      <c r="E56" s="383"/>
      <c r="F56" s="383"/>
      <c r="G56" s="384"/>
      <c r="H56" s="542"/>
      <c r="I56" s="385"/>
      <c r="N56" s="544"/>
    </row>
    <row r="57" spans="1:14" x14ac:dyDescent="0.5">
      <c r="A57" s="377">
        <v>52</v>
      </c>
      <c r="B57" s="380"/>
      <c r="C57" s="381"/>
      <c r="D57" s="382"/>
      <c r="E57" s="383"/>
      <c r="F57" s="383"/>
      <c r="G57" s="384"/>
      <c r="H57" s="542"/>
      <c r="I57" s="385"/>
      <c r="N57" s="544"/>
    </row>
    <row r="58" spans="1:14" x14ac:dyDescent="0.5">
      <c r="A58" s="377">
        <v>53</v>
      </c>
      <c r="B58" s="380"/>
      <c r="C58" s="381"/>
      <c r="D58" s="382"/>
      <c r="E58" s="383"/>
      <c r="F58" s="383"/>
      <c r="G58" s="384"/>
      <c r="H58" s="382"/>
      <c r="I58" s="385"/>
      <c r="N58" s="544"/>
    </row>
    <row r="59" spans="1:14" x14ac:dyDescent="0.5">
      <c r="A59" s="377">
        <v>54</v>
      </c>
      <c r="B59" s="380"/>
      <c r="C59" s="381"/>
      <c r="D59" s="382"/>
      <c r="E59" s="383"/>
      <c r="F59" s="383"/>
      <c r="G59" s="384"/>
      <c r="H59" s="382"/>
      <c r="I59" s="385"/>
      <c r="N59" s="544"/>
    </row>
    <row r="60" spans="1:14" x14ac:dyDescent="0.5">
      <c r="A60" s="377">
        <v>55</v>
      </c>
      <c r="B60" s="380"/>
      <c r="C60" s="381"/>
      <c r="D60" s="382"/>
      <c r="E60" s="383"/>
      <c r="F60" s="383"/>
      <c r="G60" s="384"/>
      <c r="H60" s="542"/>
      <c r="I60" s="385"/>
      <c r="N60" s="386"/>
    </row>
    <row r="61" spans="1:14" x14ac:dyDescent="0.5">
      <c r="A61" s="377">
        <v>56</v>
      </c>
      <c r="B61" s="380"/>
      <c r="C61" s="381"/>
      <c r="D61" s="382"/>
      <c r="E61" s="383"/>
      <c r="F61" s="383"/>
      <c r="G61" s="384"/>
      <c r="H61" s="542"/>
      <c r="I61" s="385"/>
      <c r="N61" s="544"/>
    </row>
    <row r="62" spans="1:14" x14ac:dyDescent="0.5">
      <c r="A62" s="377">
        <v>57</v>
      </c>
      <c r="B62" s="380"/>
      <c r="C62" s="381"/>
      <c r="D62" s="382"/>
      <c r="E62" s="383"/>
      <c r="F62" s="383"/>
      <c r="G62" s="384"/>
      <c r="H62" s="542"/>
      <c r="I62" s="385"/>
      <c r="N62" s="544"/>
    </row>
    <row r="63" spans="1:14" x14ac:dyDescent="0.5">
      <c r="A63" s="377">
        <v>58</v>
      </c>
      <c r="B63" s="380"/>
      <c r="C63" s="381"/>
      <c r="D63" s="382"/>
      <c r="E63" s="383"/>
      <c r="F63" s="383"/>
      <c r="G63" s="543"/>
      <c r="H63" s="542"/>
      <c r="I63" s="385"/>
      <c r="N63" s="386"/>
    </row>
    <row r="64" spans="1:14" x14ac:dyDescent="0.5">
      <c r="A64" s="377">
        <v>59</v>
      </c>
      <c r="B64" s="380"/>
      <c r="C64" s="381"/>
      <c r="D64" s="382"/>
      <c r="E64" s="383"/>
      <c r="F64" s="383"/>
      <c r="G64" s="384"/>
      <c r="H64" s="382"/>
      <c r="I64" s="385"/>
      <c r="N64" s="386"/>
    </row>
    <row r="65" spans="1:14" x14ac:dyDescent="0.5">
      <c r="A65" s="377">
        <v>60</v>
      </c>
      <c r="B65" s="380"/>
      <c r="C65" s="381"/>
      <c r="D65" s="382"/>
      <c r="E65" s="383"/>
      <c r="F65" s="383"/>
      <c r="G65" s="384"/>
      <c r="H65" s="382"/>
      <c r="I65" s="385"/>
      <c r="N65" s="386"/>
    </row>
    <row r="66" spans="1:14" x14ac:dyDescent="0.5">
      <c r="A66" s="377">
        <v>61</v>
      </c>
      <c r="B66" s="380"/>
      <c r="C66" s="381"/>
      <c r="D66" s="382"/>
      <c r="E66" s="383"/>
      <c r="F66" s="383"/>
      <c r="G66" s="543"/>
      <c r="H66" s="382"/>
      <c r="I66" s="385"/>
      <c r="N66" s="386"/>
    </row>
    <row r="67" spans="1:14" x14ac:dyDescent="0.5">
      <c r="A67" s="377">
        <v>62</v>
      </c>
      <c r="B67" s="380"/>
      <c r="C67" s="381"/>
      <c r="D67" s="382"/>
      <c r="E67" s="383"/>
      <c r="F67" s="383"/>
      <c r="G67" s="384"/>
      <c r="H67" s="382"/>
      <c r="I67" s="385"/>
      <c r="N67" s="386"/>
    </row>
    <row r="68" spans="1:14" x14ac:dyDescent="0.5">
      <c r="A68" s="377">
        <v>63</v>
      </c>
      <c r="B68" s="380"/>
      <c r="C68" s="381"/>
      <c r="D68" s="382"/>
      <c r="E68" s="383"/>
      <c r="F68" s="383"/>
      <c r="G68" s="384"/>
      <c r="H68" s="382"/>
      <c r="I68" s="385"/>
      <c r="N68" s="386"/>
    </row>
    <row r="69" spans="1:14" x14ac:dyDescent="0.5">
      <c r="A69" s="377">
        <v>64</v>
      </c>
      <c r="B69" s="380"/>
      <c r="C69" s="381"/>
      <c r="D69" s="382"/>
      <c r="E69" s="383"/>
      <c r="F69" s="383"/>
      <c r="G69" s="384"/>
      <c r="H69" s="382"/>
      <c r="I69" s="385"/>
      <c r="N69" s="386"/>
    </row>
    <row r="70" spans="1:14" x14ac:dyDescent="0.5">
      <c r="A70" s="377">
        <v>65</v>
      </c>
      <c r="B70" s="380"/>
      <c r="C70" s="381"/>
      <c r="D70" s="382"/>
      <c r="E70" s="383"/>
      <c r="F70" s="383"/>
      <c r="G70" s="384"/>
      <c r="H70" s="382"/>
      <c r="I70" s="385"/>
      <c r="N70" s="386"/>
    </row>
    <row r="71" spans="1:14" x14ac:dyDescent="0.5">
      <c r="A71" s="377">
        <v>66</v>
      </c>
      <c r="B71" s="380"/>
      <c r="C71" s="381"/>
      <c r="D71" s="382"/>
      <c r="E71" s="383"/>
      <c r="F71" s="383"/>
      <c r="G71" s="384"/>
      <c r="H71" s="382"/>
      <c r="I71" s="385"/>
      <c r="N71" s="386"/>
    </row>
    <row r="72" spans="1:14" x14ac:dyDescent="0.5">
      <c r="A72" s="377">
        <v>67</v>
      </c>
      <c r="B72" s="380"/>
      <c r="C72" s="381"/>
      <c r="D72" s="382"/>
      <c r="E72" s="383"/>
      <c r="F72" s="383"/>
      <c r="G72" s="384"/>
      <c r="H72" s="382"/>
      <c r="I72" s="385"/>
      <c r="N72" s="386"/>
    </row>
    <row r="73" spans="1:14" x14ac:dyDescent="0.5">
      <c r="A73" s="377">
        <v>68</v>
      </c>
      <c r="B73" s="380"/>
      <c r="C73" s="381"/>
      <c r="D73" s="382"/>
      <c r="E73" s="383"/>
      <c r="F73" s="383"/>
      <c r="G73" s="384"/>
      <c r="H73" s="542"/>
      <c r="I73" s="385"/>
      <c r="N73" s="544"/>
    </row>
    <row r="74" spans="1:14" x14ac:dyDescent="0.5">
      <c r="A74" s="377">
        <v>69</v>
      </c>
      <c r="B74" s="380"/>
      <c r="C74" s="381"/>
      <c r="D74" s="382"/>
      <c r="E74" s="383"/>
      <c r="F74" s="383"/>
      <c r="G74" s="384"/>
      <c r="H74" s="382"/>
      <c r="I74" s="385"/>
      <c r="N74" s="386"/>
    </row>
    <row r="75" spans="1:14" x14ac:dyDescent="0.5">
      <c r="A75" s="377">
        <v>70</v>
      </c>
      <c r="B75" s="380"/>
      <c r="C75" s="381"/>
      <c r="D75" s="382"/>
      <c r="E75" s="383"/>
      <c r="F75" s="383"/>
      <c r="G75" s="384"/>
      <c r="H75" s="382"/>
      <c r="I75" s="385"/>
      <c r="N75" s="386"/>
    </row>
    <row r="76" spans="1:14" x14ac:dyDescent="0.5">
      <c r="A76" s="377">
        <v>71</v>
      </c>
      <c r="B76" s="380"/>
      <c r="C76" s="381"/>
      <c r="D76" s="382"/>
      <c r="E76" s="383"/>
      <c r="F76" s="383"/>
      <c r="G76" s="384"/>
      <c r="H76" s="382"/>
      <c r="I76" s="385"/>
      <c r="N76" s="386"/>
    </row>
    <row r="77" spans="1:14" x14ac:dyDescent="0.5">
      <c r="A77" s="377">
        <v>72</v>
      </c>
      <c r="B77" s="380"/>
      <c r="C77" s="381"/>
      <c r="D77" s="382"/>
      <c r="E77" s="383"/>
      <c r="F77" s="383"/>
      <c r="G77" s="384"/>
      <c r="H77" s="382"/>
      <c r="I77" s="385"/>
      <c r="N77" s="386"/>
    </row>
    <row r="78" spans="1:14" x14ac:dyDescent="0.5">
      <c r="A78" s="377">
        <v>73</v>
      </c>
      <c r="B78" s="380"/>
      <c r="C78" s="381"/>
      <c r="D78" s="382"/>
      <c r="E78" s="383"/>
      <c r="F78" s="383"/>
      <c r="G78" s="384"/>
      <c r="H78" s="382"/>
      <c r="I78" s="385"/>
      <c r="N78" s="386"/>
    </row>
    <row r="79" spans="1:14" x14ac:dyDescent="0.5">
      <c r="A79" s="377">
        <v>74</v>
      </c>
      <c r="B79" s="380"/>
      <c r="C79" s="381"/>
      <c r="D79" s="382"/>
      <c r="E79" s="383"/>
      <c r="F79" s="383"/>
      <c r="G79" s="384"/>
      <c r="H79" s="382"/>
      <c r="I79" s="385"/>
      <c r="N79" s="386"/>
    </row>
    <row r="80" spans="1:14" x14ac:dyDescent="0.5">
      <c r="A80" s="377">
        <v>75</v>
      </c>
      <c r="B80" s="380"/>
      <c r="C80" s="381"/>
      <c r="D80" s="382"/>
      <c r="E80" s="383"/>
      <c r="F80" s="383"/>
      <c r="G80" s="384"/>
      <c r="H80" s="382"/>
      <c r="I80" s="385"/>
      <c r="N80" s="386"/>
    </row>
    <row r="81" spans="1:14" x14ac:dyDescent="0.5">
      <c r="A81" s="377">
        <v>76</v>
      </c>
      <c r="B81" s="380"/>
      <c r="C81" s="381"/>
      <c r="D81" s="382"/>
      <c r="E81" s="383"/>
      <c r="F81" s="383"/>
      <c r="G81" s="384"/>
      <c r="H81" s="382"/>
      <c r="I81" s="385"/>
      <c r="N81" s="386"/>
    </row>
    <row r="82" spans="1:14" x14ac:dyDescent="0.5">
      <c r="A82" s="377">
        <v>77</v>
      </c>
      <c r="B82" s="380"/>
      <c r="C82" s="381"/>
      <c r="D82" s="382"/>
      <c r="E82" s="383"/>
      <c r="F82" s="383"/>
      <c r="G82" s="384"/>
      <c r="H82" s="382"/>
      <c r="I82" s="385"/>
      <c r="N82" s="386"/>
    </row>
    <row r="83" spans="1:14" x14ac:dyDescent="0.5">
      <c r="A83" s="377">
        <v>78</v>
      </c>
      <c r="B83" s="380"/>
      <c r="C83" s="381"/>
      <c r="D83" s="382"/>
      <c r="E83" s="383"/>
      <c r="F83" s="383"/>
      <c r="G83" s="384"/>
      <c r="H83" s="382"/>
      <c r="I83" s="385"/>
      <c r="N83" s="386"/>
    </row>
    <row r="84" spans="1:14" x14ac:dyDescent="0.5">
      <c r="A84" s="377">
        <v>79</v>
      </c>
      <c r="B84" s="380"/>
      <c r="C84" s="381"/>
      <c r="D84" s="382"/>
      <c r="E84" s="383"/>
      <c r="F84" s="383"/>
      <c r="G84" s="384"/>
      <c r="H84" s="382"/>
      <c r="I84" s="385"/>
      <c r="N84" s="386"/>
    </row>
    <row r="85" spans="1:14" x14ac:dyDescent="0.5">
      <c r="A85" s="377">
        <v>80</v>
      </c>
      <c r="B85" s="380"/>
      <c r="C85" s="381"/>
      <c r="D85" s="382"/>
      <c r="E85" s="383"/>
      <c r="F85" s="383"/>
      <c r="G85" s="384"/>
      <c r="H85" s="382"/>
      <c r="I85" s="385"/>
      <c r="N85" s="386"/>
    </row>
    <row r="86" spans="1:14" x14ac:dyDescent="0.5">
      <c r="A86" s="377">
        <v>81</v>
      </c>
      <c r="B86" s="380"/>
      <c r="C86" s="381"/>
      <c r="D86" s="382"/>
      <c r="E86" s="383"/>
      <c r="F86" s="383"/>
      <c r="G86" s="384"/>
      <c r="H86" s="382"/>
      <c r="I86" s="385"/>
      <c r="N86" s="386"/>
    </row>
    <row r="87" spans="1:14" x14ac:dyDescent="0.5">
      <c r="A87" s="377">
        <v>82</v>
      </c>
      <c r="B87" s="380"/>
      <c r="C87" s="381"/>
      <c r="D87" s="382"/>
      <c r="E87" s="383"/>
      <c r="F87" s="383"/>
      <c r="G87" s="384"/>
      <c r="H87" s="382"/>
      <c r="I87" s="385"/>
      <c r="N87" s="386"/>
    </row>
    <row r="88" spans="1:14" x14ac:dyDescent="0.5">
      <c r="A88" s="377">
        <v>83</v>
      </c>
      <c r="B88" s="380"/>
      <c r="C88" s="381"/>
      <c r="D88" s="382"/>
      <c r="E88" s="383"/>
      <c r="F88" s="383"/>
      <c r="G88" s="384"/>
      <c r="H88" s="382"/>
      <c r="I88" s="385"/>
      <c r="N88" s="386"/>
    </row>
    <row r="89" spans="1:14" x14ac:dyDescent="0.5">
      <c r="A89" s="377">
        <v>84</v>
      </c>
      <c r="B89" s="380"/>
      <c r="C89" s="381"/>
      <c r="D89" s="382"/>
      <c r="E89" s="383"/>
      <c r="F89" s="383"/>
      <c r="G89" s="384"/>
      <c r="H89" s="382"/>
      <c r="I89" s="385"/>
      <c r="N89" s="386"/>
    </row>
    <row r="90" spans="1:14" x14ac:dyDescent="0.5">
      <c r="A90" s="377">
        <v>85</v>
      </c>
      <c r="B90" s="380"/>
      <c r="C90" s="381"/>
      <c r="D90" s="382"/>
      <c r="E90" s="383"/>
      <c r="F90" s="383"/>
      <c r="G90" s="384"/>
      <c r="H90" s="382"/>
      <c r="I90" s="385"/>
      <c r="N90" s="386"/>
    </row>
    <row r="91" spans="1:14" x14ac:dyDescent="0.5">
      <c r="A91" s="377">
        <v>86</v>
      </c>
      <c r="B91" s="380"/>
      <c r="C91" s="381"/>
      <c r="D91" s="382"/>
      <c r="E91" s="383"/>
      <c r="F91" s="383"/>
      <c r="G91" s="384"/>
      <c r="H91" s="382"/>
      <c r="I91" s="385"/>
      <c r="N91" s="386"/>
    </row>
    <row r="92" spans="1:14" x14ac:dyDescent="0.5">
      <c r="A92" s="377">
        <v>87</v>
      </c>
      <c r="B92" s="380"/>
      <c r="C92" s="381"/>
      <c r="D92" s="382"/>
      <c r="E92" s="383"/>
      <c r="F92" s="383"/>
      <c r="G92" s="384"/>
      <c r="H92" s="382"/>
      <c r="I92" s="385"/>
      <c r="N92" s="386"/>
    </row>
    <row r="93" spans="1:14" x14ac:dyDescent="0.5">
      <c r="A93" s="377">
        <v>88</v>
      </c>
      <c r="B93" s="380"/>
      <c r="C93" s="381"/>
      <c r="D93" s="382"/>
      <c r="E93" s="383"/>
      <c r="F93" s="383"/>
      <c r="G93" s="384"/>
      <c r="H93" s="382"/>
      <c r="I93" s="385"/>
      <c r="N93" s="386"/>
    </row>
    <row r="94" spans="1:14" x14ac:dyDescent="0.5">
      <c r="A94" s="377">
        <v>89</v>
      </c>
      <c r="B94" s="380"/>
      <c r="C94" s="381"/>
      <c r="D94" s="382"/>
      <c r="E94" s="383"/>
      <c r="F94" s="383"/>
      <c r="G94" s="384"/>
      <c r="H94" s="382"/>
      <c r="I94" s="385"/>
      <c r="N94" s="386"/>
    </row>
    <row r="95" spans="1:14" x14ac:dyDescent="0.5">
      <c r="A95" s="377">
        <v>90</v>
      </c>
      <c r="B95" s="380"/>
      <c r="C95" s="381"/>
      <c r="D95" s="382"/>
      <c r="E95" s="383"/>
      <c r="F95" s="383"/>
      <c r="G95" s="384"/>
      <c r="H95" s="382"/>
      <c r="I95" s="385"/>
      <c r="N95" s="386"/>
    </row>
    <row r="96" spans="1:14" x14ac:dyDescent="0.5">
      <c r="A96" s="377">
        <v>91</v>
      </c>
      <c r="B96" s="380"/>
      <c r="C96" s="381"/>
      <c r="D96" s="382"/>
      <c r="E96" s="383"/>
      <c r="F96" s="383"/>
      <c r="G96" s="384"/>
      <c r="H96" s="382"/>
      <c r="I96" s="385"/>
      <c r="N96" s="386"/>
    </row>
    <row r="97" spans="1:14" x14ac:dyDescent="0.5">
      <c r="A97" s="377">
        <v>92</v>
      </c>
      <c r="B97" s="380"/>
      <c r="C97" s="381"/>
      <c r="D97" s="382"/>
      <c r="E97" s="383"/>
      <c r="F97" s="383"/>
      <c r="G97" s="384"/>
      <c r="H97" s="382"/>
      <c r="I97" s="385"/>
      <c r="N97" s="386"/>
    </row>
    <row r="98" spans="1:14" x14ac:dyDescent="0.5">
      <c r="A98" s="377">
        <v>93</v>
      </c>
      <c r="B98" s="380"/>
      <c r="C98" s="381"/>
      <c r="D98" s="382"/>
      <c r="E98" s="383"/>
      <c r="F98" s="383"/>
      <c r="G98" s="384"/>
      <c r="H98" s="382"/>
      <c r="I98" s="385"/>
      <c r="N98" s="386"/>
    </row>
    <row r="99" spans="1:14" x14ac:dyDescent="0.5">
      <c r="A99" s="377">
        <v>94</v>
      </c>
      <c r="B99" s="380"/>
      <c r="C99" s="381"/>
      <c r="D99" s="382"/>
      <c r="E99" s="383"/>
      <c r="F99" s="383"/>
      <c r="G99" s="384"/>
      <c r="H99" s="382"/>
      <c r="I99" s="385"/>
      <c r="N99" s="386"/>
    </row>
    <row r="100" spans="1:14" x14ac:dyDescent="0.5">
      <c r="A100" s="377">
        <v>95</v>
      </c>
      <c r="B100" s="380"/>
      <c r="C100" s="381"/>
      <c r="D100" s="382"/>
      <c r="E100" s="383"/>
      <c r="F100" s="383"/>
      <c r="G100" s="384"/>
      <c r="H100" s="382"/>
      <c r="I100" s="385"/>
      <c r="N100" s="386"/>
    </row>
    <row r="101" spans="1:14" x14ac:dyDescent="0.5">
      <c r="A101" s="377">
        <v>96</v>
      </c>
      <c r="B101" s="380"/>
      <c r="C101" s="381"/>
      <c r="D101" s="382"/>
      <c r="E101" s="383"/>
      <c r="F101" s="383"/>
      <c r="G101" s="384"/>
      <c r="H101" s="382"/>
      <c r="I101" s="385"/>
      <c r="N101" s="386"/>
    </row>
    <row r="102" spans="1:14" x14ac:dyDescent="0.5">
      <c r="A102" s="377">
        <v>97</v>
      </c>
      <c r="B102" s="380"/>
      <c r="C102" s="381"/>
      <c r="D102" s="382"/>
      <c r="E102" s="383"/>
      <c r="F102" s="383"/>
      <c r="G102" s="384"/>
      <c r="H102" s="382"/>
      <c r="I102" s="385"/>
      <c r="N102" s="386"/>
    </row>
    <row r="103" spans="1:14" x14ac:dyDescent="0.5">
      <c r="A103" s="377">
        <v>98</v>
      </c>
      <c r="B103" s="380"/>
      <c r="C103" s="381"/>
      <c r="D103" s="382"/>
      <c r="E103" s="383"/>
      <c r="F103" s="383"/>
      <c r="G103" s="384"/>
      <c r="H103" s="382"/>
      <c r="I103" s="385"/>
      <c r="N103" s="386"/>
    </row>
    <row r="104" spans="1:14" x14ac:dyDescent="0.5">
      <c r="A104" s="377">
        <v>99</v>
      </c>
      <c r="B104" s="380"/>
      <c r="C104" s="381"/>
      <c r="D104" s="382"/>
      <c r="E104" s="383"/>
      <c r="F104" s="383"/>
      <c r="G104" s="384"/>
      <c r="H104" s="382"/>
      <c r="I104" s="385"/>
      <c r="N104" s="386"/>
    </row>
    <row r="105" spans="1:14" x14ac:dyDescent="0.5">
      <c r="A105" s="377">
        <v>100</v>
      </c>
      <c r="B105" s="380"/>
      <c r="C105" s="381"/>
      <c r="D105" s="382"/>
      <c r="E105" s="383"/>
      <c r="F105" s="383"/>
      <c r="G105" s="384"/>
      <c r="H105" s="382"/>
      <c r="I105" s="385"/>
      <c r="N105" s="386"/>
    </row>
  </sheetData>
  <sheetProtection selectLockedCells="1"/>
  <conditionalFormatting sqref="F24:F27 F6:F21 F34:F105">
    <cfRule type="expression" dxfId="181" priority="221">
      <formula>urban_rural="N"</formula>
    </cfRule>
  </conditionalFormatting>
  <conditionalFormatting sqref="F6 F65:F74 F37:F42 F15:F20">
    <cfRule type="expression" dxfId="180" priority="220">
      <formula>urban_rural="N"</formula>
    </cfRule>
  </conditionalFormatting>
  <conditionalFormatting sqref="F40">
    <cfRule type="expression" dxfId="179" priority="217">
      <formula>urban_rural="N"</formula>
    </cfRule>
  </conditionalFormatting>
  <conditionalFormatting sqref="F40">
    <cfRule type="expression" dxfId="178" priority="216">
      <formula>urban_rural="N"</formula>
    </cfRule>
  </conditionalFormatting>
  <conditionalFormatting sqref="F14">
    <cfRule type="expression" dxfId="177" priority="207">
      <formula>urban_rural="N"</formula>
    </cfRule>
  </conditionalFormatting>
  <conditionalFormatting sqref="F65">
    <cfRule type="expression" dxfId="176" priority="198">
      <formula>urban_rural="N"</formula>
    </cfRule>
  </conditionalFormatting>
  <conditionalFormatting sqref="F65">
    <cfRule type="expression" dxfId="175" priority="197">
      <formula>urban_rural="N"</formula>
    </cfRule>
  </conditionalFormatting>
  <conditionalFormatting sqref="F8">
    <cfRule type="expression" dxfId="174" priority="192">
      <formula>urban_rural="N"</formula>
    </cfRule>
  </conditionalFormatting>
  <conditionalFormatting sqref="F9">
    <cfRule type="expression" dxfId="173" priority="191">
      <formula>urban_rural="N"</formula>
    </cfRule>
  </conditionalFormatting>
  <conditionalFormatting sqref="F7">
    <cfRule type="expression" dxfId="172" priority="190">
      <formula>urban_rural="N"</formula>
    </cfRule>
  </conditionalFormatting>
  <conditionalFormatting sqref="F10">
    <cfRule type="expression" dxfId="171" priority="189">
      <formula>urban_rural="N"</formula>
    </cfRule>
  </conditionalFormatting>
  <conditionalFormatting sqref="F11">
    <cfRule type="expression" dxfId="170" priority="188">
      <formula>urban_rural="N"</formula>
    </cfRule>
  </conditionalFormatting>
  <conditionalFormatting sqref="F11">
    <cfRule type="expression" dxfId="169" priority="187">
      <formula>urban_rural="N"</formula>
    </cfRule>
  </conditionalFormatting>
  <conditionalFormatting sqref="F12">
    <cfRule type="expression" dxfId="168" priority="186">
      <formula>urban_rural="N"</formula>
    </cfRule>
  </conditionalFormatting>
  <conditionalFormatting sqref="F13">
    <cfRule type="expression" dxfId="167" priority="185">
      <formula>urban_rural="N"</formula>
    </cfRule>
  </conditionalFormatting>
  <conditionalFormatting sqref="F13">
    <cfRule type="expression" dxfId="166" priority="184">
      <formula>urban_rural="N"</formula>
    </cfRule>
  </conditionalFormatting>
  <conditionalFormatting sqref="F15">
    <cfRule type="expression" dxfId="165" priority="183">
      <formula>urban_rural="N"</formula>
    </cfRule>
  </conditionalFormatting>
  <conditionalFormatting sqref="F15">
    <cfRule type="expression" dxfId="164" priority="182">
      <formula>urban_rural="N"</formula>
    </cfRule>
  </conditionalFormatting>
  <conditionalFormatting sqref="F18:F29">
    <cfRule type="expression" dxfId="163" priority="181">
      <formula>urban_rural="N"</formula>
    </cfRule>
  </conditionalFormatting>
  <conditionalFormatting sqref="F18:F29">
    <cfRule type="expression" dxfId="162" priority="180">
      <formula>urban_rural="N"</formula>
    </cfRule>
  </conditionalFormatting>
  <conditionalFormatting sqref="F20">
    <cfRule type="expression" dxfId="161" priority="179">
      <formula>urban_rural="N"</formula>
    </cfRule>
  </conditionalFormatting>
  <conditionalFormatting sqref="F20">
    <cfRule type="expression" dxfId="160" priority="178">
      <formula>urban_rural="N"</formula>
    </cfRule>
  </conditionalFormatting>
  <conditionalFormatting sqref="F23:F29">
    <cfRule type="expression" dxfId="159" priority="175">
      <formula>urban_rural="N"</formula>
    </cfRule>
  </conditionalFormatting>
  <conditionalFormatting sqref="F23:F29">
    <cfRule type="expression" dxfId="158" priority="174">
      <formula>urban_rural="N"</formula>
    </cfRule>
  </conditionalFormatting>
  <conditionalFormatting sqref="F26">
    <cfRule type="expression" dxfId="157" priority="173">
      <formula>urban_rural="N"</formula>
    </cfRule>
  </conditionalFormatting>
  <conditionalFormatting sqref="F26">
    <cfRule type="expression" dxfId="156" priority="172">
      <formula>urban_rural="N"</formula>
    </cfRule>
  </conditionalFormatting>
  <conditionalFormatting sqref="F27">
    <cfRule type="expression" dxfId="155" priority="169">
      <formula>urban_rural="N"</formula>
    </cfRule>
  </conditionalFormatting>
  <conditionalFormatting sqref="F27">
    <cfRule type="expression" dxfId="154" priority="168">
      <formula>urban_rural="N"</formula>
    </cfRule>
  </conditionalFormatting>
  <conditionalFormatting sqref="F34:F39">
    <cfRule type="expression" dxfId="153" priority="167">
      <formula>urban_rural="N"</formula>
    </cfRule>
  </conditionalFormatting>
  <conditionalFormatting sqref="F34:F39">
    <cfRule type="expression" dxfId="152" priority="166">
      <formula>urban_rural="N"</formula>
    </cfRule>
  </conditionalFormatting>
  <conditionalFormatting sqref="F38:F41">
    <cfRule type="expression" dxfId="151" priority="165">
      <formula>urban_rural="N"</formula>
    </cfRule>
  </conditionalFormatting>
  <conditionalFormatting sqref="F38:F41">
    <cfRule type="expression" dxfId="150" priority="164">
      <formula>urban_rural="N"</formula>
    </cfRule>
  </conditionalFormatting>
  <conditionalFormatting sqref="F41:F66">
    <cfRule type="expression" dxfId="149" priority="163">
      <formula>urban_rural="N"</formula>
    </cfRule>
  </conditionalFormatting>
  <conditionalFormatting sqref="F42:F58">
    <cfRule type="expression" dxfId="148" priority="162">
      <formula>urban_rural="N"</formula>
    </cfRule>
  </conditionalFormatting>
  <conditionalFormatting sqref="F41">
    <cfRule type="expression" dxfId="147" priority="161">
      <formula>urban_rural="N"</formula>
    </cfRule>
  </conditionalFormatting>
  <conditionalFormatting sqref="F41">
    <cfRule type="expression" dxfId="146" priority="160">
      <formula>urban_rural="N"</formula>
    </cfRule>
  </conditionalFormatting>
  <conditionalFormatting sqref="F43">
    <cfRule type="expression" dxfId="145" priority="159">
      <formula>urban_rural="N"</formula>
    </cfRule>
  </conditionalFormatting>
  <conditionalFormatting sqref="F43">
    <cfRule type="expression" dxfId="144" priority="158">
      <formula>urban_rural="N"</formula>
    </cfRule>
  </conditionalFormatting>
  <conditionalFormatting sqref="F44:F48">
    <cfRule type="expression" dxfId="143" priority="157">
      <formula>urban_rural="N"</formula>
    </cfRule>
  </conditionalFormatting>
  <conditionalFormatting sqref="F44:F48">
    <cfRule type="expression" dxfId="142" priority="156">
      <formula>urban_rural="N"</formula>
    </cfRule>
  </conditionalFormatting>
  <conditionalFormatting sqref="F47">
    <cfRule type="expression" dxfId="141" priority="155">
      <formula>urban_rural="N"</formula>
    </cfRule>
  </conditionalFormatting>
  <conditionalFormatting sqref="F47">
    <cfRule type="expression" dxfId="140" priority="154">
      <formula>urban_rural="N"</formula>
    </cfRule>
  </conditionalFormatting>
  <conditionalFormatting sqref="F49">
    <cfRule type="expression" dxfId="139" priority="153">
      <formula>urban_rural="N"</formula>
    </cfRule>
  </conditionalFormatting>
  <conditionalFormatting sqref="F49">
    <cfRule type="expression" dxfId="138" priority="152">
      <formula>urban_rural="N"</formula>
    </cfRule>
  </conditionalFormatting>
  <conditionalFormatting sqref="F48">
    <cfRule type="expression" dxfId="137" priority="151">
      <formula>urban_rural="N"</formula>
    </cfRule>
  </conditionalFormatting>
  <conditionalFormatting sqref="F48">
    <cfRule type="expression" dxfId="136" priority="150">
      <formula>urban_rural="N"</formula>
    </cfRule>
  </conditionalFormatting>
  <conditionalFormatting sqref="F54">
    <cfRule type="expression" dxfId="135" priority="149">
      <formula>urban_rural="N"</formula>
    </cfRule>
  </conditionalFormatting>
  <conditionalFormatting sqref="F54">
    <cfRule type="expression" dxfId="134" priority="148">
      <formula>urban_rural="N"</formula>
    </cfRule>
  </conditionalFormatting>
  <conditionalFormatting sqref="F15">
    <cfRule type="expression" dxfId="133" priority="147">
      <formula>urban_rural="N"</formula>
    </cfRule>
  </conditionalFormatting>
  <conditionalFormatting sqref="F9">
    <cfRule type="expression" dxfId="132" priority="146">
      <formula>urban_rural="N"</formula>
    </cfRule>
  </conditionalFormatting>
  <conditionalFormatting sqref="F10">
    <cfRule type="expression" dxfId="131" priority="145">
      <formula>urban_rural="N"</formula>
    </cfRule>
  </conditionalFormatting>
  <conditionalFormatting sqref="F8">
    <cfRule type="expression" dxfId="130" priority="144">
      <formula>urban_rural="N"</formula>
    </cfRule>
  </conditionalFormatting>
  <conditionalFormatting sqref="F11">
    <cfRule type="expression" dxfId="129" priority="143">
      <formula>urban_rural="N"</formula>
    </cfRule>
  </conditionalFormatting>
  <conditionalFormatting sqref="F12">
    <cfRule type="expression" dxfId="128" priority="142">
      <formula>urban_rural="N"</formula>
    </cfRule>
  </conditionalFormatting>
  <conditionalFormatting sqref="F12">
    <cfRule type="expression" dxfId="127" priority="141">
      <formula>urban_rural="N"</formula>
    </cfRule>
  </conditionalFormatting>
  <conditionalFormatting sqref="F13">
    <cfRule type="expression" dxfId="126" priority="140">
      <formula>urban_rural="N"</formula>
    </cfRule>
  </conditionalFormatting>
  <conditionalFormatting sqref="F14">
    <cfRule type="expression" dxfId="125" priority="139">
      <formula>urban_rural="N"</formula>
    </cfRule>
  </conditionalFormatting>
  <conditionalFormatting sqref="F14">
    <cfRule type="expression" dxfId="124" priority="138">
      <formula>urban_rural="N"</formula>
    </cfRule>
  </conditionalFormatting>
  <conditionalFormatting sqref="F16">
    <cfRule type="expression" dxfId="123" priority="137">
      <formula>urban_rural="N"</formula>
    </cfRule>
  </conditionalFormatting>
  <conditionalFormatting sqref="F16">
    <cfRule type="expression" dxfId="122" priority="136">
      <formula>urban_rural="N"</formula>
    </cfRule>
  </conditionalFormatting>
  <conditionalFormatting sqref="F21">
    <cfRule type="expression" dxfId="121" priority="134">
      <formula>urban_rural="N"</formula>
    </cfRule>
  </conditionalFormatting>
  <conditionalFormatting sqref="F21">
    <cfRule type="expression" dxfId="120" priority="133">
      <formula>urban_rural="N"</formula>
    </cfRule>
  </conditionalFormatting>
  <conditionalFormatting sqref="F27">
    <cfRule type="expression" dxfId="119" priority="130">
      <formula>urban_rural="N"</formula>
    </cfRule>
  </conditionalFormatting>
  <conditionalFormatting sqref="F27">
    <cfRule type="expression" dxfId="118" priority="129">
      <formula>urban_rural="N"</formula>
    </cfRule>
  </conditionalFormatting>
  <conditionalFormatting sqref="F24">
    <cfRule type="expression" dxfId="117" priority="123">
      <formula>urban_rural="N"</formula>
    </cfRule>
  </conditionalFormatting>
  <conditionalFormatting sqref="F24">
    <cfRule type="expression" dxfId="116" priority="122">
      <formula>urban_rural="N"</formula>
    </cfRule>
  </conditionalFormatting>
  <conditionalFormatting sqref="F25">
    <cfRule type="expression" dxfId="115" priority="112">
      <formula>urban_rural="N"</formula>
    </cfRule>
  </conditionalFormatting>
  <conditionalFormatting sqref="F25">
    <cfRule type="expression" dxfId="114" priority="111">
      <formula>urban_rural="N"</formula>
    </cfRule>
  </conditionalFormatting>
  <conditionalFormatting sqref="F15">
    <cfRule type="expression" dxfId="113" priority="104">
      <formula>urban_rural="N"</formula>
    </cfRule>
  </conditionalFormatting>
  <conditionalFormatting sqref="F13">
    <cfRule type="expression" dxfId="112" priority="103">
      <formula>urban_rural="N"</formula>
    </cfRule>
  </conditionalFormatting>
  <conditionalFormatting sqref="F14">
    <cfRule type="expression" dxfId="111" priority="102">
      <formula>urban_rural="N"</formula>
    </cfRule>
  </conditionalFormatting>
  <conditionalFormatting sqref="F14">
    <cfRule type="expression" dxfId="110" priority="101">
      <formula>urban_rural="N"</formula>
    </cfRule>
  </conditionalFormatting>
  <conditionalFormatting sqref="F16">
    <cfRule type="expression" dxfId="109" priority="100">
      <formula>urban_rural="N"</formula>
    </cfRule>
  </conditionalFormatting>
  <conditionalFormatting sqref="F16">
    <cfRule type="expression" dxfId="108" priority="99">
      <formula>urban_rural="N"</formula>
    </cfRule>
  </conditionalFormatting>
  <conditionalFormatting sqref="F16">
    <cfRule type="expression" dxfId="107" priority="98">
      <formula>urban_rural="N"</formula>
    </cfRule>
  </conditionalFormatting>
  <conditionalFormatting sqref="F13">
    <cfRule type="expression" dxfId="106" priority="97">
      <formula>urban_rural="N"</formula>
    </cfRule>
  </conditionalFormatting>
  <conditionalFormatting sqref="F13">
    <cfRule type="expression" dxfId="105" priority="96">
      <formula>urban_rural="N"</formula>
    </cfRule>
  </conditionalFormatting>
  <conditionalFormatting sqref="F14">
    <cfRule type="expression" dxfId="104" priority="95">
      <formula>urban_rural="N"</formula>
    </cfRule>
  </conditionalFormatting>
  <conditionalFormatting sqref="F15">
    <cfRule type="expression" dxfId="103" priority="94">
      <formula>urban_rural="N"</formula>
    </cfRule>
  </conditionalFormatting>
  <conditionalFormatting sqref="F15">
    <cfRule type="expression" dxfId="102" priority="93">
      <formula>urban_rural="N"</formula>
    </cfRule>
  </conditionalFormatting>
  <conditionalFormatting sqref="F17">
    <cfRule type="expression" dxfId="101" priority="92">
      <formula>urban_rural="N"</formula>
    </cfRule>
  </conditionalFormatting>
  <conditionalFormatting sqref="F17">
    <cfRule type="expression" dxfId="100" priority="91">
      <formula>urban_rural="N"</formula>
    </cfRule>
  </conditionalFormatting>
  <conditionalFormatting sqref="F22">
    <cfRule type="expression" dxfId="99" priority="90">
      <formula>urban_rural="N"</formula>
    </cfRule>
  </conditionalFormatting>
  <conditionalFormatting sqref="F22">
    <cfRule type="expression" dxfId="98" priority="89">
      <formula>urban_rural="N"</formula>
    </cfRule>
  </conditionalFormatting>
  <conditionalFormatting sqref="F22">
    <cfRule type="expression" dxfId="97" priority="88">
      <formula>urban_rural="N"</formula>
    </cfRule>
  </conditionalFormatting>
  <conditionalFormatting sqref="F22">
    <cfRule type="expression" dxfId="96" priority="87">
      <formula>urban_rural="N"</formula>
    </cfRule>
  </conditionalFormatting>
  <conditionalFormatting sqref="F22">
    <cfRule type="expression" dxfId="95" priority="86">
      <formula>urban_rural="N"</formula>
    </cfRule>
  </conditionalFormatting>
  <conditionalFormatting sqref="F22">
    <cfRule type="expression" dxfId="94" priority="85">
      <formula>urban_rural="N"</formula>
    </cfRule>
  </conditionalFormatting>
  <conditionalFormatting sqref="F22">
    <cfRule type="expression" dxfId="93" priority="84">
      <formula>urban_rural="N"</formula>
    </cfRule>
  </conditionalFormatting>
  <conditionalFormatting sqref="F22">
    <cfRule type="expression" dxfId="92" priority="83">
      <formula>urban_rural="N"</formula>
    </cfRule>
  </conditionalFormatting>
  <conditionalFormatting sqref="F22">
    <cfRule type="expression" dxfId="91" priority="82">
      <formula>urban_rural="N"</formula>
    </cfRule>
  </conditionalFormatting>
  <conditionalFormatting sqref="F23">
    <cfRule type="expression" dxfId="90" priority="81">
      <formula>urban_rural="N"</formula>
    </cfRule>
  </conditionalFormatting>
  <conditionalFormatting sqref="F23">
    <cfRule type="expression" dxfId="89" priority="80">
      <formula>urban_rural="N"</formula>
    </cfRule>
  </conditionalFormatting>
  <conditionalFormatting sqref="F23">
    <cfRule type="expression" dxfId="88" priority="79">
      <formula>urban_rural="N"</formula>
    </cfRule>
  </conditionalFormatting>
  <conditionalFormatting sqref="F23">
    <cfRule type="expression" dxfId="87" priority="78">
      <formula>urban_rural="N"</formula>
    </cfRule>
  </conditionalFormatting>
  <conditionalFormatting sqref="F23">
    <cfRule type="expression" dxfId="86" priority="77">
      <formula>urban_rural="N"</formula>
    </cfRule>
  </conditionalFormatting>
  <conditionalFormatting sqref="F23">
    <cfRule type="expression" dxfId="85" priority="76">
      <formula>urban_rural="N"</formula>
    </cfRule>
  </conditionalFormatting>
  <conditionalFormatting sqref="F23">
    <cfRule type="expression" dxfId="84" priority="75">
      <formula>urban_rural="N"</formula>
    </cfRule>
  </conditionalFormatting>
  <conditionalFormatting sqref="F23">
    <cfRule type="expression" dxfId="83" priority="74">
      <formula>urban_rural="N"</formula>
    </cfRule>
  </conditionalFormatting>
  <conditionalFormatting sqref="F23">
    <cfRule type="expression" dxfId="82" priority="73">
      <formula>urban_rural="N"</formula>
    </cfRule>
  </conditionalFormatting>
  <conditionalFormatting sqref="F13">
    <cfRule type="expression" dxfId="81" priority="72">
      <formula>urban_rural="N"</formula>
    </cfRule>
  </conditionalFormatting>
  <conditionalFormatting sqref="F10">
    <cfRule type="expression" dxfId="80" priority="71">
      <formula>urban_rural="N"</formula>
    </cfRule>
  </conditionalFormatting>
  <conditionalFormatting sqref="F10">
    <cfRule type="expression" dxfId="79" priority="70">
      <formula>urban_rural="N"</formula>
    </cfRule>
  </conditionalFormatting>
  <conditionalFormatting sqref="F11">
    <cfRule type="expression" dxfId="78" priority="69">
      <formula>urban_rural="N"</formula>
    </cfRule>
  </conditionalFormatting>
  <conditionalFormatting sqref="F12">
    <cfRule type="expression" dxfId="77" priority="68">
      <formula>urban_rural="N"</formula>
    </cfRule>
  </conditionalFormatting>
  <conditionalFormatting sqref="F12">
    <cfRule type="expression" dxfId="76" priority="67">
      <formula>urban_rural="N"</formula>
    </cfRule>
  </conditionalFormatting>
  <conditionalFormatting sqref="F14">
    <cfRule type="expression" dxfId="75" priority="66">
      <formula>urban_rural="N"</formula>
    </cfRule>
  </conditionalFormatting>
  <conditionalFormatting sqref="F14">
    <cfRule type="expression" dxfId="74" priority="65">
      <formula>urban_rural="N"</formula>
    </cfRule>
  </conditionalFormatting>
  <conditionalFormatting sqref="F14">
    <cfRule type="expression" dxfId="73" priority="64">
      <formula>urban_rural="N"</formula>
    </cfRule>
  </conditionalFormatting>
  <conditionalFormatting sqref="F10">
    <cfRule type="expression" dxfId="72" priority="63">
      <formula>urban_rural="N"</formula>
    </cfRule>
  </conditionalFormatting>
  <conditionalFormatting sqref="F11">
    <cfRule type="expression" dxfId="71" priority="62">
      <formula>urban_rural="N"</formula>
    </cfRule>
  </conditionalFormatting>
  <conditionalFormatting sqref="F11">
    <cfRule type="expression" dxfId="70" priority="61">
      <formula>urban_rural="N"</formula>
    </cfRule>
  </conditionalFormatting>
  <conditionalFormatting sqref="F12">
    <cfRule type="expression" dxfId="69" priority="60">
      <formula>urban_rural="N"</formula>
    </cfRule>
  </conditionalFormatting>
  <conditionalFormatting sqref="F13">
    <cfRule type="expression" dxfId="68" priority="59">
      <formula>urban_rural="N"</formula>
    </cfRule>
  </conditionalFormatting>
  <conditionalFormatting sqref="F13">
    <cfRule type="expression" dxfId="67" priority="58">
      <formula>urban_rural="N"</formula>
    </cfRule>
  </conditionalFormatting>
  <conditionalFormatting sqref="F15">
    <cfRule type="expression" dxfId="66" priority="57">
      <formula>urban_rural="N"</formula>
    </cfRule>
  </conditionalFormatting>
  <conditionalFormatting sqref="F15">
    <cfRule type="expression" dxfId="65" priority="56">
      <formula>urban_rural="N"</formula>
    </cfRule>
  </conditionalFormatting>
  <conditionalFormatting sqref="F14">
    <cfRule type="expression" dxfId="64" priority="55">
      <formula>urban_rural="N"</formula>
    </cfRule>
  </conditionalFormatting>
  <conditionalFormatting sqref="F12">
    <cfRule type="expression" dxfId="63" priority="54">
      <formula>urban_rural="N"</formula>
    </cfRule>
  </conditionalFormatting>
  <conditionalFormatting sqref="F13">
    <cfRule type="expression" dxfId="62" priority="53">
      <formula>urban_rural="N"</formula>
    </cfRule>
  </conditionalFormatting>
  <conditionalFormatting sqref="F13">
    <cfRule type="expression" dxfId="61" priority="52">
      <formula>urban_rural="N"</formula>
    </cfRule>
  </conditionalFormatting>
  <conditionalFormatting sqref="F15">
    <cfRule type="expression" dxfId="60" priority="51">
      <formula>urban_rural="N"</formula>
    </cfRule>
  </conditionalFormatting>
  <conditionalFormatting sqref="F15">
    <cfRule type="expression" dxfId="59" priority="50">
      <formula>urban_rural="N"</formula>
    </cfRule>
  </conditionalFormatting>
  <conditionalFormatting sqref="F15">
    <cfRule type="expression" dxfId="58" priority="49">
      <formula>urban_rural="N"</formula>
    </cfRule>
  </conditionalFormatting>
  <conditionalFormatting sqref="F12">
    <cfRule type="expression" dxfId="57" priority="48">
      <formula>urban_rural="N"</formula>
    </cfRule>
  </conditionalFormatting>
  <conditionalFormatting sqref="F12">
    <cfRule type="expression" dxfId="56" priority="47">
      <formula>urban_rural="N"</formula>
    </cfRule>
  </conditionalFormatting>
  <conditionalFormatting sqref="F13">
    <cfRule type="expression" dxfId="55" priority="46">
      <formula>urban_rural="N"</formula>
    </cfRule>
  </conditionalFormatting>
  <conditionalFormatting sqref="F14">
    <cfRule type="expression" dxfId="54" priority="45">
      <formula>urban_rural="N"</formula>
    </cfRule>
  </conditionalFormatting>
  <conditionalFormatting sqref="F14">
    <cfRule type="expression" dxfId="53" priority="44">
      <formula>urban_rural="N"</formula>
    </cfRule>
  </conditionalFormatting>
  <conditionalFormatting sqref="F16">
    <cfRule type="expression" dxfId="52" priority="43">
      <formula>urban_rural="N"</formula>
    </cfRule>
  </conditionalFormatting>
  <conditionalFormatting sqref="F16">
    <cfRule type="expression" dxfId="51" priority="42">
      <formula>urban_rural="N"</formula>
    </cfRule>
  </conditionalFormatting>
  <conditionalFormatting sqref="F19">
    <cfRule type="expression" dxfId="50" priority="41">
      <formula>urban_rural="N"</formula>
    </cfRule>
  </conditionalFormatting>
  <conditionalFormatting sqref="F19">
    <cfRule type="expression" dxfId="49" priority="40">
      <formula>urban_rural="N"</formula>
    </cfRule>
  </conditionalFormatting>
  <conditionalFormatting sqref="F20">
    <cfRule type="expression" dxfId="48" priority="39">
      <formula>urban_rural="N"</formula>
    </cfRule>
  </conditionalFormatting>
  <conditionalFormatting sqref="F20">
    <cfRule type="expression" dxfId="47" priority="38">
      <formula>urban_rural="N"</formula>
    </cfRule>
  </conditionalFormatting>
  <conditionalFormatting sqref="F21">
    <cfRule type="expression" dxfId="46" priority="37">
      <formula>urban_rural="N"</formula>
    </cfRule>
  </conditionalFormatting>
  <conditionalFormatting sqref="F21">
    <cfRule type="expression" dxfId="45" priority="36">
      <formula>urban_rural="N"</formula>
    </cfRule>
  </conditionalFormatting>
  <conditionalFormatting sqref="F21">
    <cfRule type="expression" dxfId="44" priority="35">
      <formula>urban_rural="N"</formula>
    </cfRule>
  </conditionalFormatting>
  <conditionalFormatting sqref="F21">
    <cfRule type="expression" dxfId="43" priority="34">
      <formula>urban_rural="N"</formula>
    </cfRule>
  </conditionalFormatting>
  <conditionalFormatting sqref="F21">
    <cfRule type="expression" dxfId="42" priority="33">
      <formula>urban_rural="N"</formula>
    </cfRule>
  </conditionalFormatting>
  <conditionalFormatting sqref="F21">
    <cfRule type="expression" dxfId="41" priority="32">
      <formula>urban_rural="N"</formula>
    </cfRule>
  </conditionalFormatting>
  <conditionalFormatting sqref="F21">
    <cfRule type="expression" dxfId="40" priority="31">
      <formula>urban_rural="N"</formula>
    </cfRule>
  </conditionalFormatting>
  <conditionalFormatting sqref="F21">
    <cfRule type="expression" dxfId="39" priority="30">
      <formula>urban_rural="N"</formula>
    </cfRule>
  </conditionalFormatting>
  <conditionalFormatting sqref="F21">
    <cfRule type="expression" dxfId="38" priority="29">
      <formula>urban_rural="N"</formula>
    </cfRule>
  </conditionalFormatting>
  <conditionalFormatting sqref="F22">
    <cfRule type="expression" dxfId="37" priority="28">
      <formula>urban_rural="N"</formula>
    </cfRule>
  </conditionalFormatting>
  <conditionalFormatting sqref="F22">
    <cfRule type="expression" dxfId="36" priority="27">
      <formula>urban_rural="N"</formula>
    </cfRule>
  </conditionalFormatting>
  <conditionalFormatting sqref="F22">
    <cfRule type="expression" dxfId="35" priority="26">
      <formula>urban_rural="N"</formula>
    </cfRule>
  </conditionalFormatting>
  <conditionalFormatting sqref="F22">
    <cfRule type="expression" dxfId="34" priority="25">
      <formula>urban_rural="N"</formula>
    </cfRule>
  </conditionalFormatting>
  <conditionalFormatting sqref="F22">
    <cfRule type="expression" dxfId="33" priority="24">
      <formula>urban_rural="N"</formula>
    </cfRule>
  </conditionalFormatting>
  <conditionalFormatting sqref="F22">
    <cfRule type="expression" dxfId="32" priority="23">
      <formula>urban_rural="N"</formula>
    </cfRule>
  </conditionalFormatting>
  <conditionalFormatting sqref="F22">
    <cfRule type="expression" dxfId="31" priority="22">
      <formula>urban_rural="N"</formula>
    </cfRule>
  </conditionalFormatting>
  <conditionalFormatting sqref="F22">
    <cfRule type="expression" dxfId="30" priority="21">
      <formula>urban_rural="N"</formula>
    </cfRule>
  </conditionalFormatting>
  <conditionalFormatting sqref="F22">
    <cfRule type="expression" dxfId="29" priority="20">
      <formula>urban_rural="N"</formula>
    </cfRule>
  </conditionalFormatting>
  <conditionalFormatting sqref="F26:F32">
    <cfRule type="expression" dxfId="28" priority="19">
      <formula>urban_rural="N"</formula>
    </cfRule>
  </conditionalFormatting>
  <conditionalFormatting sqref="F26:F32">
    <cfRule type="expression" dxfId="27" priority="18">
      <formula>urban_rural="N"</formula>
    </cfRule>
  </conditionalFormatting>
  <conditionalFormatting sqref="F26:F32">
    <cfRule type="expression" dxfId="26" priority="17">
      <formula>urban_rural="N"</formula>
    </cfRule>
  </conditionalFormatting>
  <conditionalFormatting sqref="F28">
    <cfRule type="expression" dxfId="25" priority="16">
      <formula>urban_rural="N"</formula>
    </cfRule>
  </conditionalFormatting>
  <conditionalFormatting sqref="F27">
    <cfRule type="expression" dxfId="24" priority="15">
      <formula>urban_rural="N"</formula>
    </cfRule>
  </conditionalFormatting>
  <conditionalFormatting sqref="F31">
    <cfRule type="expression" dxfId="23" priority="14">
      <formula>urban_rural="N"</formula>
    </cfRule>
  </conditionalFormatting>
  <conditionalFormatting sqref="F31">
    <cfRule type="expression" dxfId="22" priority="13">
      <formula>urban_rural="N"</formula>
    </cfRule>
  </conditionalFormatting>
  <conditionalFormatting sqref="F31">
    <cfRule type="expression" dxfId="21" priority="12">
      <formula>urban_rural="N"</formula>
    </cfRule>
  </conditionalFormatting>
  <conditionalFormatting sqref="F31">
    <cfRule type="expression" dxfId="20" priority="11">
      <formula>urban_rural="N"</formula>
    </cfRule>
  </conditionalFormatting>
  <conditionalFormatting sqref="F31">
    <cfRule type="expression" dxfId="19" priority="10">
      <formula>urban_rural="N"</formula>
    </cfRule>
  </conditionalFormatting>
  <conditionalFormatting sqref="F31">
    <cfRule type="expression" dxfId="18" priority="9">
      <formula>urban_rural="N"</formula>
    </cfRule>
  </conditionalFormatting>
  <conditionalFormatting sqref="F31">
    <cfRule type="expression" dxfId="17" priority="8">
      <formula>urban_rural="N"</formula>
    </cfRule>
  </conditionalFormatting>
  <conditionalFormatting sqref="F31">
    <cfRule type="expression" dxfId="16" priority="7">
      <formula>urban_rural="N"</formula>
    </cfRule>
  </conditionalFormatting>
  <conditionalFormatting sqref="F31">
    <cfRule type="expression" dxfId="15" priority="6">
      <formula>urban_rural="N"</formula>
    </cfRule>
  </conditionalFormatting>
  <conditionalFormatting sqref="F30:F35">
    <cfRule type="expression" dxfId="14" priority="5">
      <formula>urban_rural="N"</formula>
    </cfRule>
  </conditionalFormatting>
  <conditionalFormatting sqref="F30:F35">
    <cfRule type="expression" dxfId="13" priority="4">
      <formula>urban_rural="N"</formula>
    </cfRule>
  </conditionalFormatting>
  <conditionalFormatting sqref="F30:F35">
    <cfRule type="expression" dxfId="12" priority="3">
      <formula>urban_rural="N"</formula>
    </cfRule>
  </conditionalFormatting>
  <conditionalFormatting sqref="F32">
    <cfRule type="expression" dxfId="11" priority="2">
      <formula>urban_rural="N"</formula>
    </cfRule>
  </conditionalFormatting>
  <conditionalFormatting sqref="F31">
    <cfRule type="expression" dxfId="10" priority="1">
      <formula>urban_rural="N"</formula>
    </cfRule>
  </conditionalFormatting>
  <dataValidations count="3">
    <dataValidation type="list" allowBlank="1" showInputMessage="1" showErrorMessage="1" sqref="F6:F105" xr:uid="{00000000-0002-0000-0400-000000000000}">
      <formula1>"Urban, Rural, All areas"</formula1>
    </dataValidation>
    <dataValidation type="list" allowBlank="1" showInputMessage="1" showErrorMessage="1" sqref="E6:E105" xr:uid="{00000000-0002-0000-0400-000001000000}">
      <formula1>"Promotional, Preventive, Curative"</formula1>
    </dataValidation>
    <dataValidation type="list" allowBlank="1" showInputMessage="1" showErrorMessage="1" sqref="D94:D96 D83:D87 D6:D80" xr:uid="{00000000-0002-0000-0400-000002000000}">
      <formula1>target_pops</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400-000003000000}">
          <x14:formula1>
            <xm:f>'1. Program Information'!$D$19:$D$28</xm:f>
          </x14:formula1>
          <xm:sqref>C6:C105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Q2:BV114"/>
  <sheetViews>
    <sheetView topLeftCell="AV19" workbookViewId="0">
      <selection activeCell="BG32" sqref="BG32"/>
    </sheetView>
  </sheetViews>
  <sheetFormatPr defaultColWidth="8.84375" defaultRowHeight="14.6" x14ac:dyDescent="0.4"/>
  <cols>
    <col min="54" max="55" width="8.84375" style="323"/>
    <col min="57" max="57" width="8.84375" style="323"/>
    <col min="58" max="58" width="19.3046875" customWidth="1"/>
    <col min="60" max="60" width="9.4609375" customWidth="1"/>
  </cols>
  <sheetData>
    <row r="2" spans="43:74" x14ac:dyDescent="0.4">
      <c r="AQ2" s="319"/>
      <c r="AR2" s="319"/>
      <c r="AS2" s="319"/>
      <c r="AT2" s="319"/>
      <c r="AU2" s="319"/>
      <c r="AV2" s="319"/>
      <c r="AW2" s="319"/>
      <c r="AX2" s="319"/>
      <c r="AY2" s="319"/>
      <c r="AZ2" s="319"/>
      <c r="BA2" s="319"/>
      <c r="BB2" s="319"/>
      <c r="BC2" s="319"/>
      <c r="BD2" s="319"/>
      <c r="BE2" s="319"/>
      <c r="BF2" s="319"/>
      <c r="BG2" s="319"/>
      <c r="BH2" s="319"/>
      <c r="BI2" s="319"/>
      <c r="BJ2" s="319"/>
      <c r="BK2" s="319"/>
      <c r="BL2" s="319"/>
      <c r="BM2" s="319"/>
      <c r="BN2" s="319"/>
      <c r="BO2" s="319"/>
      <c r="BP2" s="319"/>
      <c r="BQ2" s="319"/>
      <c r="BR2" s="319"/>
      <c r="BS2" s="319"/>
      <c r="BT2" s="319"/>
      <c r="BU2" s="319"/>
      <c r="BV2" s="319"/>
    </row>
    <row r="3" spans="43:74" x14ac:dyDescent="0.4">
      <c r="AQ3" s="583" t="e">
        <f>'1. Program Information'!#REF!</f>
        <v>#REF!</v>
      </c>
      <c r="AR3" s="583"/>
      <c r="AS3" s="583"/>
    </row>
    <row r="4" spans="43:74" x14ac:dyDescent="0.4">
      <c r="AQ4" s="325"/>
      <c r="AR4" s="325"/>
      <c r="AS4" s="325"/>
      <c r="AT4" s="323"/>
      <c r="AU4" s="323"/>
      <c r="AV4" s="323"/>
      <c r="AW4" s="323"/>
      <c r="AX4" s="323"/>
      <c r="AY4" s="323"/>
      <c r="AZ4" s="323"/>
      <c r="BA4" s="323"/>
      <c r="BD4" s="323"/>
      <c r="BF4" s="323"/>
      <c r="BG4" s="323"/>
      <c r="BH4" s="323"/>
      <c r="BI4" s="323"/>
      <c r="BJ4" s="323"/>
      <c r="BK4" s="323"/>
      <c r="BL4" s="323"/>
      <c r="BM4" s="323"/>
      <c r="BN4" s="323"/>
      <c r="BO4" s="323"/>
      <c r="BP4" s="323"/>
      <c r="BQ4" s="323"/>
      <c r="BR4" s="323"/>
      <c r="BS4" s="323"/>
      <c r="BT4" s="323"/>
      <c r="BU4" s="323"/>
      <c r="BV4" s="323"/>
    </row>
    <row r="5" spans="43:74" ht="58.3" x14ac:dyDescent="0.4">
      <c r="AQ5" s="315" t="s">
        <v>76</v>
      </c>
      <c r="AR5" s="315" t="s">
        <v>1017</v>
      </c>
      <c r="AS5" s="315" t="s">
        <v>1018</v>
      </c>
      <c r="AT5" s="99"/>
      <c r="AU5" s="99"/>
      <c r="AV5" s="99"/>
      <c r="AW5" s="99"/>
      <c r="AX5" s="99"/>
      <c r="AY5" s="99"/>
      <c r="AZ5" s="99"/>
      <c r="BA5" s="99"/>
      <c r="BB5" s="322"/>
      <c r="BC5" s="322"/>
      <c r="BD5" s="99"/>
      <c r="BE5" s="322"/>
      <c r="BF5" s="99"/>
      <c r="BG5" s="99"/>
      <c r="BH5" s="99"/>
      <c r="BI5" s="99"/>
      <c r="BJ5" s="99"/>
      <c r="BK5" s="99"/>
      <c r="BL5" s="99"/>
      <c r="BM5" s="99"/>
      <c r="BN5" s="99"/>
      <c r="BO5" s="99"/>
      <c r="BP5" s="99"/>
      <c r="BQ5" s="99"/>
      <c r="BR5" s="99"/>
      <c r="BS5" s="99"/>
      <c r="BT5" s="99"/>
      <c r="BU5" s="99"/>
      <c r="BV5" s="99"/>
    </row>
    <row r="6" spans="43:74" x14ac:dyDescent="0.4">
      <c r="AQ6" s="3">
        <f>4.6*150</f>
        <v>690</v>
      </c>
      <c r="AR6" s="130">
        <v>52</v>
      </c>
      <c r="AS6" s="130">
        <v>40</v>
      </c>
    </row>
    <row r="7" spans="43:74" x14ac:dyDescent="0.4">
      <c r="AQ7" s="3">
        <f>4.6*150/2</f>
        <v>345</v>
      </c>
      <c r="AR7" s="130">
        <v>10</v>
      </c>
      <c r="AS7" s="130">
        <v>40</v>
      </c>
      <c r="BG7" s="320">
        <f>IF('4. Policy Interactive Screen'!D6&lt;&gt;0,IF('4. Policy Interactive Screen'!D$5="Number of CHWs available",national_pop/'4. Policy Interactive Screen'!D6,'4. Policy Interactive Screen'!D6),0)</f>
        <v>0</v>
      </c>
      <c r="BH7" s="320">
        <f>'4. Policy Interactive Screen'!E6</f>
        <v>0</v>
      </c>
      <c r="BI7" s="320">
        <f>'4. Policy Interactive Screen'!F6</f>
        <v>0</v>
      </c>
      <c r="BJ7" s="320">
        <f>IF('4. Policy Interactive Screen'!G6&lt;&gt;0,IF('4. Policy Interactive Screen'!G$5="Number of CHWs available",national_pop/'4. Policy Interactive Screen'!G6,'4. Policy Interactive Screen'!G6),0)</f>
        <v>0</v>
      </c>
      <c r="BK7" s="320">
        <f>'4. Policy Interactive Screen'!H6</f>
        <v>0</v>
      </c>
      <c r="BL7" s="320">
        <f>'4. Policy Interactive Screen'!I6</f>
        <v>0</v>
      </c>
      <c r="BM7" s="320">
        <f>IF('4. Policy Interactive Screen'!J6&lt;&gt;0,IF('4. Policy Interactive Screen'!J$5="Number of CHWs available",national_pop/'4. Policy Interactive Screen'!J6,'4. Policy Interactive Screen'!J6),0)</f>
        <v>0</v>
      </c>
      <c r="BN7" s="320">
        <f>'4. Policy Interactive Screen'!K6</f>
        <v>0</v>
      </c>
      <c r="BO7" s="320">
        <f>'4. Policy Interactive Screen'!L6</f>
        <v>0</v>
      </c>
    </row>
    <row r="8" spans="43:74" x14ac:dyDescent="0.4">
      <c r="AQ8" s="130"/>
      <c r="AR8" s="130"/>
      <c r="AS8" s="130"/>
      <c r="BG8" s="320">
        <f>IF('4. Policy Interactive Screen'!D7&lt;&gt;0,IF('4. Policy Interactive Screen'!D$5="Number of CHWs available",national_pop/'4. Policy Interactive Screen'!D7,'4. Policy Interactive Screen'!D7),0)</f>
        <v>0</v>
      </c>
      <c r="BH8" s="320">
        <f>'4. Policy Interactive Screen'!E7</f>
        <v>0</v>
      </c>
      <c r="BI8" s="320">
        <f>'4. Policy Interactive Screen'!F7</f>
        <v>0</v>
      </c>
      <c r="BJ8" s="320">
        <f>IF('4. Policy Interactive Screen'!G7&lt;&gt;0,IF('4. Policy Interactive Screen'!G$5="Number of CHWs available",national_pop/'4. Policy Interactive Screen'!G7,'4. Policy Interactive Screen'!G7),0)</f>
        <v>0</v>
      </c>
      <c r="BK8" s="320">
        <f>'4. Policy Interactive Screen'!H7</f>
        <v>0</v>
      </c>
      <c r="BL8" s="320">
        <f>'4. Policy Interactive Screen'!I7</f>
        <v>0</v>
      </c>
      <c r="BM8" s="320">
        <f>IF('4. Policy Interactive Screen'!J7&lt;&gt;0,IF('4. Policy Interactive Screen'!J$5="Number of CHWs available",national_pop/'4. Policy Interactive Screen'!J7,'4. Policy Interactive Screen'!J7),0)</f>
        <v>0</v>
      </c>
      <c r="BN8" s="320">
        <f>'4. Policy Interactive Screen'!K7</f>
        <v>0</v>
      </c>
      <c r="BO8" s="320">
        <f>'4. Policy Interactive Screen'!L7</f>
        <v>0</v>
      </c>
    </row>
    <row r="9" spans="43:74" x14ac:dyDescent="0.4">
      <c r="AQ9" s="130"/>
      <c r="AR9" s="130"/>
      <c r="AS9" s="130"/>
      <c r="BG9" s="320">
        <f>IF('4. Policy Interactive Screen'!D8&lt;&gt;0,IF('4. Policy Interactive Screen'!D$5="Number of CHWs available",national_pop/'4. Policy Interactive Screen'!D8,'4. Policy Interactive Screen'!D8),0)</f>
        <v>0</v>
      </c>
      <c r="BH9" s="320">
        <f>'4. Policy Interactive Screen'!E8</f>
        <v>0</v>
      </c>
      <c r="BI9" s="320">
        <f>'4. Policy Interactive Screen'!F8</f>
        <v>0</v>
      </c>
      <c r="BJ9" s="320">
        <f>IF('4. Policy Interactive Screen'!G8&lt;&gt;0,IF('4. Policy Interactive Screen'!G$5="Number of CHWs available",national_pop/'4. Policy Interactive Screen'!G8,'4. Policy Interactive Screen'!G8),0)</f>
        <v>0</v>
      </c>
      <c r="BK9" s="320">
        <f>'4. Policy Interactive Screen'!H8</f>
        <v>0</v>
      </c>
      <c r="BL9" s="320">
        <f>'4. Policy Interactive Screen'!I8</f>
        <v>0</v>
      </c>
      <c r="BM9" s="320">
        <f>IF('4. Policy Interactive Screen'!J8&lt;&gt;0,IF('4. Policy Interactive Screen'!J$5="Number of CHWs available",national_pop/'4. Policy Interactive Screen'!J8,'4. Policy Interactive Screen'!J8),0)</f>
        <v>0</v>
      </c>
      <c r="BN9" s="320">
        <f>'4. Policy Interactive Screen'!K8</f>
        <v>0</v>
      </c>
      <c r="BO9" s="320">
        <f>'4. Policy Interactive Screen'!L8</f>
        <v>0</v>
      </c>
    </row>
    <row r="10" spans="43:74" x14ac:dyDescent="0.4">
      <c r="AQ10" s="130"/>
      <c r="AR10" s="130"/>
      <c r="AS10" s="130"/>
      <c r="BG10" s="320">
        <f>IF('4. Policy Interactive Screen'!D9&lt;&gt;0,IF('4. Policy Interactive Screen'!D$5="Number of CHWs available",national_pop/'4. Policy Interactive Screen'!D9,'4. Policy Interactive Screen'!D9),0)</f>
        <v>0</v>
      </c>
      <c r="BH10" s="320">
        <f>'4. Policy Interactive Screen'!E9</f>
        <v>0</v>
      </c>
      <c r="BI10" s="320">
        <f>'4. Policy Interactive Screen'!F9</f>
        <v>0</v>
      </c>
      <c r="BJ10" s="320">
        <f>IF('4. Policy Interactive Screen'!G9&lt;&gt;0,IF('4. Policy Interactive Screen'!G$5="Number of CHWs available",national_pop/'4. Policy Interactive Screen'!G9,'4. Policy Interactive Screen'!G9),0)</f>
        <v>0</v>
      </c>
      <c r="BK10" s="320">
        <f>'4. Policy Interactive Screen'!H9</f>
        <v>0</v>
      </c>
      <c r="BL10" s="320">
        <f>'4. Policy Interactive Screen'!I9</f>
        <v>0</v>
      </c>
      <c r="BM10" s="320">
        <f>IF('4. Policy Interactive Screen'!J9&lt;&gt;0,IF('4. Policy Interactive Screen'!J$5="Number of CHWs available",national_pop/'4. Policy Interactive Screen'!J9,'4. Policy Interactive Screen'!J9),0)</f>
        <v>0</v>
      </c>
      <c r="BN10" s="320">
        <f>'4. Policy Interactive Screen'!K9</f>
        <v>0</v>
      </c>
      <c r="BO10" s="320">
        <f>'4. Policy Interactive Screen'!L9</f>
        <v>0</v>
      </c>
    </row>
    <row r="11" spans="43:74" x14ac:dyDescent="0.4">
      <c r="AQ11" s="130"/>
      <c r="AR11" s="130"/>
      <c r="AS11" s="130"/>
      <c r="BG11" s="320">
        <f>IF('4. Policy Interactive Screen'!D10&lt;&gt;0,IF('4. Policy Interactive Screen'!D$5="Number of CHWs available",national_pop/'4. Policy Interactive Screen'!D10,'4. Policy Interactive Screen'!D10),0)</f>
        <v>0</v>
      </c>
      <c r="BH11" s="320">
        <f>'4. Policy Interactive Screen'!E10</f>
        <v>0</v>
      </c>
      <c r="BI11" s="320">
        <f>'4. Policy Interactive Screen'!F10</f>
        <v>0</v>
      </c>
      <c r="BJ11" s="320">
        <f>IF('4. Policy Interactive Screen'!G10&lt;&gt;0,IF('4. Policy Interactive Screen'!G$5="Number of CHWs available",national_pop/'4. Policy Interactive Screen'!G10,'4. Policy Interactive Screen'!G10),0)</f>
        <v>0</v>
      </c>
      <c r="BK11" s="320">
        <f>'4. Policy Interactive Screen'!H10</f>
        <v>0</v>
      </c>
      <c r="BL11" s="320">
        <f>'4. Policy Interactive Screen'!I10</f>
        <v>0</v>
      </c>
      <c r="BM11" s="320">
        <f>IF('4. Policy Interactive Screen'!J10&lt;&gt;0,IF('4. Policy Interactive Screen'!J$5="Number of CHWs available",national_pop/'4. Policy Interactive Screen'!J10,'4. Policy Interactive Screen'!J10),0)</f>
        <v>0</v>
      </c>
      <c r="BN11" s="320">
        <f>'4. Policy Interactive Screen'!K10</f>
        <v>0</v>
      </c>
      <c r="BO11" s="320">
        <f>'4. Policy Interactive Screen'!L10</f>
        <v>0</v>
      </c>
    </row>
    <row r="12" spans="43:74" x14ac:dyDescent="0.4">
      <c r="AQ12" s="130"/>
      <c r="AR12" s="130"/>
      <c r="AS12" s="130"/>
      <c r="BG12" s="320">
        <f>IF('4. Policy Interactive Screen'!D11&lt;&gt;0,IF('4. Policy Interactive Screen'!D$5="Number of CHWs available",national_pop/'4. Policy Interactive Screen'!D11,'4. Policy Interactive Screen'!D11),0)</f>
        <v>0</v>
      </c>
      <c r="BH12" s="320">
        <f>'4. Policy Interactive Screen'!E11</f>
        <v>0</v>
      </c>
      <c r="BI12" s="320">
        <f>'4. Policy Interactive Screen'!F11</f>
        <v>0</v>
      </c>
      <c r="BJ12" s="320">
        <f>IF('4. Policy Interactive Screen'!G11&lt;&gt;0,IF('4. Policy Interactive Screen'!G$5="Number of CHWs available",national_pop/'4. Policy Interactive Screen'!G11,'4. Policy Interactive Screen'!G11),0)</f>
        <v>0</v>
      </c>
      <c r="BK12" s="320">
        <f>'4. Policy Interactive Screen'!H11</f>
        <v>0</v>
      </c>
      <c r="BL12" s="320">
        <f>'4. Policy Interactive Screen'!I11</f>
        <v>0</v>
      </c>
      <c r="BM12" s="320">
        <f>IF('4. Policy Interactive Screen'!J11&lt;&gt;0,IF('4. Policy Interactive Screen'!J$5="Number of CHWs available",national_pop/'4. Policy Interactive Screen'!J11,'4. Policy Interactive Screen'!J11),0)</f>
        <v>0</v>
      </c>
      <c r="BN12" s="320">
        <f>'4. Policy Interactive Screen'!K11</f>
        <v>0</v>
      </c>
      <c r="BO12" s="320">
        <f>'4. Policy Interactive Screen'!L11</f>
        <v>0</v>
      </c>
    </row>
    <row r="13" spans="43:74" x14ac:dyDescent="0.4">
      <c r="AQ13" s="584" t="e">
        <f>AQ3</f>
        <v>#REF!</v>
      </c>
      <c r="AR13" s="584"/>
    </row>
    <row r="14" spans="43:74" ht="72.900000000000006" x14ac:dyDescent="0.4">
      <c r="AQ14" s="169" t="s">
        <v>1034</v>
      </c>
      <c r="AR14" s="2" t="s">
        <v>1035</v>
      </c>
    </row>
    <row r="15" spans="43:74" x14ac:dyDescent="0.4">
      <c r="AQ15">
        <v>100</v>
      </c>
      <c r="AR15" s="57" t="s">
        <v>25</v>
      </c>
    </row>
    <row r="16" spans="43:74" x14ac:dyDescent="0.4">
      <c r="AQ16">
        <v>100</v>
      </c>
      <c r="AR16" s="57" t="s">
        <v>25</v>
      </c>
    </row>
    <row r="17" spans="43:70" x14ac:dyDescent="0.4">
      <c r="AQ17">
        <v>100</v>
      </c>
      <c r="AR17" s="57" t="s">
        <v>25</v>
      </c>
    </row>
    <row r="18" spans="43:70" x14ac:dyDescent="0.4">
      <c r="AQ18">
        <v>100</v>
      </c>
      <c r="AR18" s="57" t="s">
        <v>25</v>
      </c>
    </row>
    <row r="19" spans="43:70" x14ac:dyDescent="0.4">
      <c r="AQ19">
        <v>100</v>
      </c>
      <c r="AR19" s="57" t="s">
        <v>25</v>
      </c>
    </row>
    <row r="20" spans="43:70" x14ac:dyDescent="0.4">
      <c r="AQ20">
        <v>100</v>
      </c>
      <c r="AR20" s="57" t="s">
        <v>16</v>
      </c>
    </row>
    <row r="21" spans="43:70" x14ac:dyDescent="0.4">
      <c r="AQ21">
        <v>100</v>
      </c>
      <c r="AR21" s="57" t="s">
        <v>25</v>
      </c>
    </row>
    <row r="22" spans="43:70" x14ac:dyDescent="0.4">
      <c r="AQ22">
        <v>100</v>
      </c>
      <c r="AR22" s="57" t="s">
        <v>16</v>
      </c>
    </row>
    <row r="23" spans="43:70" x14ac:dyDescent="0.4">
      <c r="AQ23">
        <v>100</v>
      </c>
      <c r="AR23" s="57" t="s">
        <v>16</v>
      </c>
      <c r="BH23" s="317" t="s">
        <v>1032</v>
      </c>
    </row>
    <row r="24" spans="43:70" x14ac:dyDescent="0.4">
      <c r="AQ24">
        <v>100</v>
      </c>
      <c r="AR24" s="57" t="s">
        <v>16</v>
      </c>
      <c r="BH24" s="317"/>
    </row>
    <row r="25" spans="43:70" x14ac:dyDescent="0.4">
      <c r="AQ25">
        <v>100</v>
      </c>
      <c r="AR25" s="57" t="s">
        <v>16</v>
      </c>
      <c r="BB25" s="323" t="str">
        <f>BH25</f>
        <v>ERROR</v>
      </c>
      <c r="BC25" s="323" t="str">
        <f>BB25</f>
        <v>ERROR</v>
      </c>
      <c r="BH25" s="317" t="str">
        <f>IF('4. Policy Interactive Screen'!R24='CHW drop-downs'!A36,"C",IF('4. Policy Interactive Screen'!R24='CHW drop-downs'!A37,"D",IF('4. Policy Interactive Screen'!R24='CHW drop-downs'!A38,"E",IF('4. Policy Interactive Screen'!R24='CHW drop-downs'!A39,"F","ERROR"))))</f>
        <v>ERROR</v>
      </c>
      <c r="BI25" t="s">
        <v>78</v>
      </c>
      <c r="BJ25" t="s">
        <v>79</v>
      </c>
      <c r="BK25" t="s">
        <v>80</v>
      </c>
      <c r="BL25" t="s">
        <v>81</v>
      </c>
      <c r="BM25" t="s">
        <v>82</v>
      </c>
      <c r="BN25" t="s">
        <v>83</v>
      </c>
      <c r="BO25" t="s">
        <v>84</v>
      </c>
      <c r="BP25" t="s">
        <v>85</v>
      </c>
      <c r="BQ25" t="s">
        <v>86</v>
      </c>
      <c r="BR25" t="s">
        <v>87</v>
      </c>
    </row>
    <row r="26" spans="43:70" s="322" customFormat="1" ht="58.3" x14ac:dyDescent="0.4">
      <c r="AQ26" s="322">
        <v>100</v>
      </c>
      <c r="AR26" s="524" t="s">
        <v>16</v>
      </c>
      <c r="BA26" s="322" t="s">
        <v>1557</v>
      </c>
      <c r="BB26" s="322" t="s">
        <v>1559</v>
      </c>
      <c r="BC26" s="322" t="s">
        <v>1558</v>
      </c>
      <c r="BD26" s="322" t="s">
        <v>1555</v>
      </c>
      <c r="BE26" s="322" t="s">
        <v>1556</v>
      </c>
      <c r="BH26" s="466"/>
    </row>
    <row r="27" spans="43:70" x14ac:dyDescent="0.4">
      <c r="AQ27">
        <v>100</v>
      </c>
      <c r="AR27" s="57" t="s">
        <v>16</v>
      </c>
      <c r="AZ27">
        <f>_chw1</f>
        <v>0</v>
      </c>
      <c r="BA27">
        <v>0</v>
      </c>
      <c r="BB27" s="323">
        <v>61</v>
      </c>
      <c r="BC27" s="323">
        <v>5</v>
      </c>
      <c r="BD27" s="323" t="e">
        <f ca="1">INDIRECT("CHW_time_calcs_1!"&amp;BB$25&amp;$BB27)</f>
        <v>#REF!</v>
      </c>
      <c r="BE27" s="323" t="e">
        <f ca="1">INDIRECT("CHW_time_calcs_1!"&amp;BC$25&amp;$BC27)</f>
        <v>#REF!</v>
      </c>
      <c r="BF27" t="e">
        <f>VLOOKUP('4. Policy Interactive Screen'!R23,AZ27:BA32,2,FALSE)+34</f>
        <v>#N/A</v>
      </c>
      <c r="BG27" t="str">
        <f>Summary_CHW_Time!B34</f>
        <v>Service delivery</v>
      </c>
      <c r="BH27" s="318" t="e">
        <f t="shared" ref="BH27:BR32" ca="1" si="0">INDIRECT("Summary_CHW_Time!"&amp;BH$25&amp;$BF27)</f>
        <v>#N/A</v>
      </c>
      <c r="BI27" s="133" t="e">
        <f t="shared" ca="1" si="0"/>
        <v>#N/A</v>
      </c>
      <c r="BJ27" s="133" t="e">
        <f t="shared" ca="1" si="0"/>
        <v>#N/A</v>
      </c>
      <c r="BK27" s="133" t="e">
        <f t="shared" ca="1" si="0"/>
        <v>#N/A</v>
      </c>
      <c r="BL27" s="133" t="e">
        <f t="shared" ca="1" si="0"/>
        <v>#N/A</v>
      </c>
      <c r="BM27" s="133" t="e">
        <f t="shared" ca="1" si="0"/>
        <v>#N/A</v>
      </c>
      <c r="BN27" s="133" t="e">
        <f t="shared" ca="1" si="0"/>
        <v>#N/A</v>
      </c>
      <c r="BO27" s="133" t="e">
        <f t="shared" ca="1" si="0"/>
        <v>#N/A</v>
      </c>
      <c r="BP27" s="133" t="e">
        <f t="shared" ca="1" si="0"/>
        <v>#N/A</v>
      </c>
      <c r="BQ27" s="133" t="e">
        <f t="shared" ca="1" si="0"/>
        <v>#N/A</v>
      </c>
      <c r="BR27" s="133" t="e">
        <f t="shared" ca="1" si="0"/>
        <v>#N/A</v>
      </c>
    </row>
    <row r="28" spans="43:70" x14ac:dyDescent="0.4">
      <c r="AQ28">
        <v>100</v>
      </c>
      <c r="AR28" s="57" t="s">
        <v>16</v>
      </c>
      <c r="AZ28">
        <f>_chw2</f>
        <v>0</v>
      </c>
      <c r="BA28">
        <v>9</v>
      </c>
      <c r="BB28" s="323">
        <f>BB27+1</f>
        <v>62</v>
      </c>
      <c r="BC28" s="323">
        <f t="shared" ref="BC28:BC32" si="1">BC27+1</f>
        <v>6</v>
      </c>
      <c r="BD28" s="323" t="e">
        <f t="shared" ref="BD28:BD32" ca="1" si="2">INDIRECT("CHW_time_calcs_1!"&amp;BB$25&amp;$BB28)</f>
        <v>#REF!</v>
      </c>
      <c r="BE28" s="323" t="e">
        <f t="shared" ref="BE28:BE32" ca="1" si="3">INDIRECT("CHW_time_calcs_1!"&amp;BC$25&amp;$BC28)</f>
        <v>#REF!</v>
      </c>
      <c r="BF28" t="e">
        <f>BF27+1</f>
        <v>#N/A</v>
      </c>
      <c r="BG28" t="str">
        <f>Summary_CHW_Time!B35</f>
        <v>Travel</v>
      </c>
      <c r="BH28" s="318" t="e">
        <f t="shared" ca="1" si="0"/>
        <v>#N/A</v>
      </c>
      <c r="BI28" s="133" t="e">
        <f t="shared" ca="1" si="0"/>
        <v>#N/A</v>
      </c>
      <c r="BJ28" s="133" t="e">
        <f t="shared" ca="1" si="0"/>
        <v>#N/A</v>
      </c>
      <c r="BK28" s="133" t="e">
        <f t="shared" ca="1" si="0"/>
        <v>#N/A</v>
      </c>
      <c r="BL28" s="133" t="e">
        <f t="shared" ca="1" si="0"/>
        <v>#N/A</v>
      </c>
      <c r="BM28" s="133" t="e">
        <f t="shared" ca="1" si="0"/>
        <v>#N/A</v>
      </c>
      <c r="BN28" s="133" t="e">
        <f t="shared" ca="1" si="0"/>
        <v>#N/A</v>
      </c>
      <c r="BO28" s="133" t="e">
        <f t="shared" ca="1" si="0"/>
        <v>#N/A</v>
      </c>
      <c r="BP28" s="133" t="e">
        <f t="shared" ca="1" si="0"/>
        <v>#N/A</v>
      </c>
      <c r="BQ28" s="133" t="e">
        <f t="shared" ca="1" si="0"/>
        <v>#N/A</v>
      </c>
      <c r="BR28" s="133" t="e">
        <f t="shared" ca="1" si="0"/>
        <v>#N/A</v>
      </c>
    </row>
    <row r="29" spans="43:70" x14ac:dyDescent="0.4">
      <c r="AQ29">
        <v>100</v>
      </c>
      <c r="AR29" s="57" t="s">
        <v>16</v>
      </c>
      <c r="AZ29">
        <f>_chw3</f>
        <v>0</v>
      </c>
      <c r="BA29">
        <v>18</v>
      </c>
      <c r="BB29" s="323">
        <f t="shared" ref="BB29:BB32" si="4">BB28+1</f>
        <v>63</v>
      </c>
      <c r="BC29" s="323">
        <f t="shared" si="1"/>
        <v>7</v>
      </c>
      <c r="BD29" s="323" t="e">
        <f t="shared" ca="1" si="2"/>
        <v>#REF!</v>
      </c>
      <c r="BE29" s="323" t="e">
        <f t="shared" ca="1" si="3"/>
        <v>#REF!</v>
      </c>
      <c r="BF29" t="e">
        <f>BF28+1</f>
        <v>#N/A</v>
      </c>
      <c r="BG29" t="str">
        <f>Summary_CHW_Time!B36</f>
        <v>Administration</v>
      </c>
      <c r="BH29" s="318" t="e">
        <f t="shared" ca="1" si="0"/>
        <v>#N/A</v>
      </c>
      <c r="BI29" s="133" t="e">
        <f t="shared" ca="1" si="0"/>
        <v>#N/A</v>
      </c>
      <c r="BJ29" s="133" t="e">
        <f t="shared" ca="1" si="0"/>
        <v>#N/A</v>
      </c>
      <c r="BK29" s="133" t="e">
        <f t="shared" ca="1" si="0"/>
        <v>#N/A</v>
      </c>
      <c r="BL29" s="133" t="e">
        <f t="shared" ca="1" si="0"/>
        <v>#N/A</v>
      </c>
      <c r="BM29" s="133" t="e">
        <f t="shared" ca="1" si="0"/>
        <v>#N/A</v>
      </c>
      <c r="BN29" s="133" t="e">
        <f t="shared" ca="1" si="0"/>
        <v>#N/A</v>
      </c>
      <c r="BO29" s="133" t="e">
        <f t="shared" ca="1" si="0"/>
        <v>#N/A</v>
      </c>
      <c r="BP29" s="133" t="e">
        <f t="shared" ca="1" si="0"/>
        <v>#N/A</v>
      </c>
      <c r="BQ29" s="133" t="e">
        <f t="shared" ca="1" si="0"/>
        <v>#N/A</v>
      </c>
      <c r="BR29" s="133" t="e">
        <f t="shared" ca="1" si="0"/>
        <v>#N/A</v>
      </c>
    </row>
    <row r="30" spans="43:70" x14ac:dyDescent="0.4">
      <c r="AQ30">
        <v>100</v>
      </c>
      <c r="AR30" s="57" t="s">
        <v>16</v>
      </c>
      <c r="AZ30">
        <f>_chw4</f>
        <v>0</v>
      </c>
      <c r="BA30">
        <v>27</v>
      </c>
      <c r="BB30" s="323">
        <f t="shared" si="4"/>
        <v>64</v>
      </c>
      <c r="BC30" s="323">
        <f t="shared" si="1"/>
        <v>8</v>
      </c>
      <c r="BD30" s="323" t="e">
        <f t="shared" ca="1" si="2"/>
        <v>#REF!</v>
      </c>
      <c r="BE30" s="323" t="e">
        <f t="shared" ca="1" si="3"/>
        <v>#REF!</v>
      </c>
      <c r="BF30" t="e">
        <f>BF29+1</f>
        <v>#N/A</v>
      </c>
      <c r="BG30" t="str">
        <f>Summary_CHW_Time!B37</f>
        <v>Campaigns</v>
      </c>
      <c r="BH30" s="318" t="e">
        <f t="shared" ca="1" si="0"/>
        <v>#N/A</v>
      </c>
      <c r="BI30" s="133" t="e">
        <f t="shared" ca="1" si="0"/>
        <v>#N/A</v>
      </c>
      <c r="BJ30" s="133" t="e">
        <f t="shared" ca="1" si="0"/>
        <v>#N/A</v>
      </c>
      <c r="BK30" s="133" t="e">
        <f t="shared" ca="1" si="0"/>
        <v>#N/A</v>
      </c>
      <c r="BL30" s="133" t="e">
        <f t="shared" ca="1" si="0"/>
        <v>#N/A</v>
      </c>
      <c r="BM30" s="133" t="e">
        <f t="shared" ca="1" si="0"/>
        <v>#N/A</v>
      </c>
      <c r="BN30" s="133" t="e">
        <f t="shared" ca="1" si="0"/>
        <v>#N/A</v>
      </c>
      <c r="BO30" s="133" t="e">
        <f t="shared" ca="1" si="0"/>
        <v>#N/A</v>
      </c>
      <c r="BP30" s="133" t="e">
        <f t="shared" ca="1" si="0"/>
        <v>#N/A</v>
      </c>
      <c r="BQ30" s="133" t="e">
        <f t="shared" ca="1" si="0"/>
        <v>#N/A</v>
      </c>
      <c r="BR30" s="133" t="e">
        <f t="shared" ca="1" si="0"/>
        <v>#N/A</v>
      </c>
    </row>
    <row r="31" spans="43:70" x14ac:dyDescent="0.4">
      <c r="AQ31">
        <v>100</v>
      </c>
      <c r="AR31" s="57" t="s">
        <v>16</v>
      </c>
      <c r="AZ31">
        <f>_chw5</f>
        <v>0</v>
      </c>
      <c r="BA31">
        <v>36</v>
      </c>
      <c r="BB31" s="323">
        <f t="shared" si="4"/>
        <v>65</v>
      </c>
      <c r="BC31" s="323">
        <f t="shared" si="1"/>
        <v>9</v>
      </c>
      <c r="BD31" s="323" t="e">
        <f t="shared" ca="1" si="2"/>
        <v>#REF!</v>
      </c>
      <c r="BE31" s="323" t="e">
        <f t="shared" ca="1" si="3"/>
        <v>#REF!</v>
      </c>
      <c r="BF31" t="e">
        <f>BF30+1</f>
        <v>#N/A</v>
      </c>
      <c r="BG31" t="str">
        <f>Summary_CHW_Time!B38</f>
        <v>Training</v>
      </c>
      <c r="BH31" s="318" t="e">
        <f t="shared" ca="1" si="0"/>
        <v>#N/A</v>
      </c>
      <c r="BI31" s="133" t="e">
        <f t="shared" ca="1" si="0"/>
        <v>#N/A</v>
      </c>
      <c r="BJ31" s="133" t="e">
        <f t="shared" ca="1" si="0"/>
        <v>#N/A</v>
      </c>
      <c r="BK31" s="133" t="e">
        <f t="shared" ca="1" si="0"/>
        <v>#N/A</v>
      </c>
      <c r="BL31" s="133" t="e">
        <f t="shared" ca="1" si="0"/>
        <v>#N/A</v>
      </c>
      <c r="BM31" s="133" t="e">
        <f t="shared" ca="1" si="0"/>
        <v>#N/A</v>
      </c>
      <c r="BN31" s="133" t="e">
        <f t="shared" ca="1" si="0"/>
        <v>#N/A</v>
      </c>
      <c r="BO31" s="133" t="e">
        <f t="shared" ca="1" si="0"/>
        <v>#N/A</v>
      </c>
      <c r="BP31" s="133" t="e">
        <f t="shared" ca="1" si="0"/>
        <v>#N/A</v>
      </c>
      <c r="BQ31" s="133" t="e">
        <f t="shared" ca="1" si="0"/>
        <v>#N/A</v>
      </c>
      <c r="BR31" s="133" t="e">
        <f t="shared" ca="1" si="0"/>
        <v>#N/A</v>
      </c>
    </row>
    <row r="32" spans="43:70" x14ac:dyDescent="0.4">
      <c r="AQ32">
        <v>100</v>
      </c>
      <c r="AR32" s="57" t="s">
        <v>25</v>
      </c>
      <c r="AZ32">
        <f>_chw6</f>
        <v>0</v>
      </c>
      <c r="BA32">
        <v>45</v>
      </c>
      <c r="BB32" s="323">
        <f t="shared" si="4"/>
        <v>66</v>
      </c>
      <c r="BC32" s="323">
        <f t="shared" si="1"/>
        <v>10</v>
      </c>
      <c r="BD32" s="323" t="e">
        <f t="shared" ca="1" si="2"/>
        <v>#REF!</v>
      </c>
      <c r="BE32" s="323" t="e">
        <f t="shared" ca="1" si="3"/>
        <v>#REF!</v>
      </c>
      <c r="BF32" t="e">
        <f>BF31+1</f>
        <v>#N/A</v>
      </c>
      <c r="BG32" t="str">
        <f>Summary_CHW_Time!B39</f>
        <v>Other meetings</v>
      </c>
      <c r="BH32" s="318" t="e">
        <f t="shared" ca="1" si="0"/>
        <v>#N/A</v>
      </c>
      <c r="BI32" s="133" t="e">
        <f t="shared" ca="1" si="0"/>
        <v>#N/A</v>
      </c>
      <c r="BJ32" s="133" t="e">
        <f t="shared" ca="1" si="0"/>
        <v>#N/A</v>
      </c>
      <c r="BK32" s="133" t="e">
        <f t="shared" ca="1" si="0"/>
        <v>#N/A</v>
      </c>
      <c r="BL32" s="133" t="e">
        <f t="shared" ca="1" si="0"/>
        <v>#N/A</v>
      </c>
      <c r="BM32" s="133" t="e">
        <f t="shared" ca="1" si="0"/>
        <v>#N/A</v>
      </c>
      <c r="BN32" s="133" t="e">
        <f t="shared" ca="1" si="0"/>
        <v>#N/A</v>
      </c>
      <c r="BO32" s="133" t="e">
        <f t="shared" ca="1" si="0"/>
        <v>#N/A</v>
      </c>
      <c r="BP32" s="133" t="e">
        <f t="shared" ca="1" si="0"/>
        <v>#N/A</v>
      </c>
      <c r="BQ32" s="133" t="e">
        <f t="shared" ca="1" si="0"/>
        <v>#N/A</v>
      </c>
      <c r="BR32" s="133" t="e">
        <f t="shared" ca="1" si="0"/>
        <v>#N/A</v>
      </c>
    </row>
    <row r="33" spans="43:60" x14ac:dyDescent="0.4">
      <c r="AQ33">
        <v>100</v>
      </c>
      <c r="AR33" s="57" t="s">
        <v>25</v>
      </c>
      <c r="BH33" s="133"/>
    </row>
    <row r="34" spans="43:60" x14ac:dyDescent="0.4">
      <c r="AQ34">
        <v>100</v>
      </c>
      <c r="AR34" s="57" t="s">
        <v>25</v>
      </c>
    </row>
    <row r="35" spans="43:60" x14ac:dyDescent="0.4">
      <c r="AQ35">
        <v>100</v>
      </c>
      <c r="AR35" s="57" t="s">
        <v>25</v>
      </c>
    </row>
    <row r="36" spans="43:60" x14ac:dyDescent="0.4">
      <c r="AQ36">
        <v>100</v>
      </c>
      <c r="AR36" s="57" t="s">
        <v>25</v>
      </c>
    </row>
    <row r="37" spans="43:60" x14ac:dyDescent="0.4">
      <c r="AQ37">
        <v>100</v>
      </c>
      <c r="AR37" s="57" t="s">
        <v>25</v>
      </c>
    </row>
    <row r="38" spans="43:60" x14ac:dyDescent="0.4">
      <c r="AQ38">
        <v>100</v>
      </c>
      <c r="AR38" s="57" t="s">
        <v>25</v>
      </c>
    </row>
    <row r="39" spans="43:60" x14ac:dyDescent="0.4">
      <c r="AQ39">
        <v>100</v>
      </c>
      <c r="AR39" s="57" t="s">
        <v>25</v>
      </c>
    </row>
    <row r="40" spans="43:60" x14ac:dyDescent="0.4">
      <c r="AQ40">
        <v>100</v>
      </c>
      <c r="AR40" s="57" t="s">
        <v>25</v>
      </c>
    </row>
    <row r="41" spans="43:60" x14ac:dyDescent="0.4">
      <c r="AQ41">
        <v>10</v>
      </c>
      <c r="AR41" s="131"/>
    </row>
    <row r="42" spans="43:60" x14ac:dyDescent="0.4">
      <c r="AQ42">
        <v>10</v>
      </c>
      <c r="AR42" s="131"/>
    </row>
    <row r="43" spans="43:60" x14ac:dyDescent="0.4">
      <c r="AQ43">
        <v>10</v>
      </c>
      <c r="AR43" s="131"/>
    </row>
    <row r="44" spans="43:60" x14ac:dyDescent="0.4">
      <c r="AQ44">
        <v>10</v>
      </c>
      <c r="AR44" s="131"/>
    </row>
    <row r="45" spans="43:60" x14ac:dyDescent="0.4">
      <c r="AQ45">
        <v>10</v>
      </c>
      <c r="AR45" s="131"/>
    </row>
    <row r="46" spans="43:60" x14ac:dyDescent="0.4">
      <c r="AQ46">
        <v>10</v>
      </c>
      <c r="AR46" s="131"/>
    </row>
    <row r="47" spans="43:60" x14ac:dyDescent="0.4">
      <c r="AQ47">
        <v>10</v>
      </c>
      <c r="AR47" s="131"/>
    </row>
    <row r="48" spans="43:60" x14ac:dyDescent="0.4">
      <c r="AQ48">
        <v>10</v>
      </c>
      <c r="AR48" s="131"/>
    </row>
    <row r="49" spans="43:44" x14ac:dyDescent="0.4">
      <c r="AQ49">
        <v>10</v>
      </c>
      <c r="AR49" s="131"/>
    </row>
    <row r="50" spans="43:44" x14ac:dyDescent="0.4">
      <c r="AQ50">
        <v>10</v>
      </c>
      <c r="AR50" s="131"/>
    </row>
    <row r="51" spans="43:44" x14ac:dyDescent="0.4">
      <c r="AQ51">
        <v>10</v>
      </c>
      <c r="AR51" s="131"/>
    </row>
    <row r="52" spans="43:44" x14ac:dyDescent="0.4">
      <c r="AQ52">
        <v>10</v>
      </c>
      <c r="AR52" s="131"/>
    </row>
    <row r="53" spans="43:44" x14ac:dyDescent="0.4">
      <c r="AQ53">
        <v>10</v>
      </c>
      <c r="AR53" s="131"/>
    </row>
    <row r="54" spans="43:44" x14ac:dyDescent="0.4">
      <c r="AQ54">
        <v>10</v>
      </c>
      <c r="AR54" s="131"/>
    </row>
    <row r="55" spans="43:44" x14ac:dyDescent="0.4">
      <c r="AQ55">
        <v>10</v>
      </c>
      <c r="AR55" s="131"/>
    </row>
    <row r="56" spans="43:44" x14ac:dyDescent="0.4">
      <c r="AQ56">
        <v>10</v>
      </c>
      <c r="AR56" s="131"/>
    </row>
    <row r="57" spans="43:44" x14ac:dyDescent="0.4">
      <c r="AQ57">
        <v>10</v>
      </c>
      <c r="AR57" s="131"/>
    </row>
    <row r="58" spans="43:44" x14ac:dyDescent="0.4">
      <c r="AQ58">
        <v>10</v>
      </c>
      <c r="AR58" s="131"/>
    </row>
    <row r="59" spans="43:44" x14ac:dyDescent="0.4">
      <c r="AQ59">
        <v>10</v>
      </c>
      <c r="AR59" s="131"/>
    </row>
    <row r="60" spans="43:44" x14ac:dyDescent="0.4">
      <c r="AQ60">
        <v>10</v>
      </c>
      <c r="AR60" s="131"/>
    </row>
    <row r="61" spans="43:44" x14ac:dyDescent="0.4">
      <c r="AQ61">
        <v>10</v>
      </c>
      <c r="AR61" s="131"/>
    </row>
    <row r="62" spans="43:44" x14ac:dyDescent="0.4">
      <c r="AQ62">
        <v>10</v>
      </c>
      <c r="AR62" s="131"/>
    </row>
    <row r="63" spans="43:44" x14ac:dyDescent="0.4">
      <c r="AQ63">
        <v>10</v>
      </c>
      <c r="AR63" s="131"/>
    </row>
    <row r="64" spans="43:44" x14ac:dyDescent="0.4">
      <c r="AQ64">
        <v>10</v>
      </c>
      <c r="AR64" s="131"/>
    </row>
    <row r="65" spans="43:44" x14ac:dyDescent="0.4">
      <c r="AQ65">
        <v>10</v>
      </c>
      <c r="AR65" s="131"/>
    </row>
    <row r="66" spans="43:44" x14ac:dyDescent="0.4">
      <c r="AQ66">
        <v>10</v>
      </c>
      <c r="AR66" s="131"/>
    </row>
    <row r="67" spans="43:44" x14ac:dyDescent="0.4">
      <c r="AQ67">
        <v>10</v>
      </c>
      <c r="AR67" s="131"/>
    </row>
    <row r="68" spans="43:44" x14ac:dyDescent="0.4">
      <c r="AQ68">
        <v>10</v>
      </c>
      <c r="AR68" s="131"/>
    </row>
    <row r="69" spans="43:44" x14ac:dyDescent="0.4">
      <c r="AQ69">
        <v>10</v>
      </c>
      <c r="AR69" s="131"/>
    </row>
    <row r="70" spans="43:44" x14ac:dyDescent="0.4">
      <c r="AQ70">
        <v>10</v>
      </c>
      <c r="AR70" s="131"/>
    </row>
    <row r="71" spans="43:44" x14ac:dyDescent="0.4">
      <c r="AQ71">
        <v>10</v>
      </c>
      <c r="AR71" s="131"/>
    </row>
    <row r="72" spans="43:44" x14ac:dyDescent="0.4">
      <c r="AQ72">
        <v>10</v>
      </c>
      <c r="AR72" s="131"/>
    </row>
    <row r="73" spans="43:44" x14ac:dyDescent="0.4">
      <c r="AQ73">
        <v>10</v>
      </c>
      <c r="AR73" s="131"/>
    </row>
    <row r="74" spans="43:44" x14ac:dyDescent="0.4">
      <c r="AQ74">
        <v>10</v>
      </c>
      <c r="AR74" s="131"/>
    </row>
    <row r="75" spans="43:44" x14ac:dyDescent="0.4">
      <c r="AQ75">
        <v>10</v>
      </c>
      <c r="AR75" s="131"/>
    </row>
    <row r="76" spans="43:44" x14ac:dyDescent="0.4">
      <c r="AQ76">
        <v>10</v>
      </c>
      <c r="AR76" s="131"/>
    </row>
    <row r="77" spans="43:44" x14ac:dyDescent="0.4">
      <c r="AQ77">
        <v>10</v>
      </c>
      <c r="AR77" s="131"/>
    </row>
    <row r="78" spans="43:44" x14ac:dyDescent="0.4">
      <c r="AQ78">
        <v>10</v>
      </c>
      <c r="AR78" s="131"/>
    </row>
    <row r="79" spans="43:44" x14ac:dyDescent="0.4">
      <c r="AQ79">
        <v>10</v>
      </c>
      <c r="AR79" s="131"/>
    </row>
    <row r="80" spans="43:44" x14ac:dyDescent="0.4">
      <c r="AQ80">
        <v>10</v>
      </c>
      <c r="AR80" s="131"/>
    </row>
    <row r="81" spans="43:44" x14ac:dyDescent="0.4">
      <c r="AQ81">
        <v>10</v>
      </c>
      <c r="AR81" s="131"/>
    </row>
    <row r="82" spans="43:44" x14ac:dyDescent="0.4">
      <c r="AQ82">
        <v>10</v>
      </c>
      <c r="AR82" s="131"/>
    </row>
    <row r="83" spans="43:44" x14ac:dyDescent="0.4">
      <c r="AQ83">
        <v>10</v>
      </c>
      <c r="AR83" s="131"/>
    </row>
    <row r="84" spans="43:44" x14ac:dyDescent="0.4">
      <c r="AQ84">
        <v>10</v>
      </c>
      <c r="AR84" s="131"/>
    </row>
    <row r="85" spans="43:44" x14ac:dyDescent="0.4">
      <c r="AQ85">
        <v>10</v>
      </c>
      <c r="AR85" s="131"/>
    </row>
    <row r="86" spans="43:44" x14ac:dyDescent="0.4">
      <c r="AQ86">
        <v>10</v>
      </c>
      <c r="AR86" s="131"/>
    </row>
    <row r="87" spans="43:44" x14ac:dyDescent="0.4">
      <c r="AQ87">
        <v>10</v>
      </c>
      <c r="AR87" s="131"/>
    </row>
    <row r="88" spans="43:44" x14ac:dyDescent="0.4">
      <c r="AQ88">
        <v>10</v>
      </c>
      <c r="AR88" s="131"/>
    </row>
    <row r="89" spans="43:44" x14ac:dyDescent="0.4">
      <c r="AQ89">
        <v>10</v>
      </c>
      <c r="AR89" s="131"/>
    </row>
    <row r="90" spans="43:44" x14ac:dyDescent="0.4">
      <c r="AQ90">
        <v>10</v>
      </c>
      <c r="AR90" s="131"/>
    </row>
    <row r="91" spans="43:44" x14ac:dyDescent="0.4">
      <c r="AQ91">
        <v>10</v>
      </c>
      <c r="AR91" s="131"/>
    </row>
    <row r="92" spans="43:44" x14ac:dyDescent="0.4">
      <c r="AQ92">
        <v>10</v>
      </c>
      <c r="AR92" s="131"/>
    </row>
    <row r="93" spans="43:44" x14ac:dyDescent="0.4">
      <c r="AQ93">
        <v>10</v>
      </c>
      <c r="AR93" s="131"/>
    </row>
    <row r="94" spans="43:44" x14ac:dyDescent="0.4">
      <c r="AQ94">
        <v>10</v>
      </c>
      <c r="AR94" s="131"/>
    </row>
    <row r="95" spans="43:44" x14ac:dyDescent="0.4">
      <c r="AQ95">
        <v>10</v>
      </c>
      <c r="AR95" s="131"/>
    </row>
    <row r="96" spans="43:44" x14ac:dyDescent="0.4">
      <c r="AQ96">
        <v>10</v>
      </c>
      <c r="AR96" s="131"/>
    </row>
    <row r="97" spans="43:44" x14ac:dyDescent="0.4">
      <c r="AQ97">
        <v>10</v>
      </c>
      <c r="AR97" s="131"/>
    </row>
    <row r="98" spans="43:44" x14ac:dyDescent="0.4">
      <c r="AQ98">
        <v>10</v>
      </c>
      <c r="AR98" s="131"/>
    </row>
    <row r="99" spans="43:44" x14ac:dyDescent="0.4">
      <c r="AQ99">
        <v>10</v>
      </c>
      <c r="AR99" s="131"/>
    </row>
    <row r="100" spans="43:44" x14ac:dyDescent="0.4">
      <c r="AQ100">
        <v>10</v>
      </c>
      <c r="AR100" s="131"/>
    </row>
    <row r="101" spans="43:44" x14ac:dyDescent="0.4">
      <c r="AQ101">
        <v>10</v>
      </c>
      <c r="AR101" s="131"/>
    </row>
    <row r="102" spans="43:44" x14ac:dyDescent="0.4">
      <c r="AQ102">
        <v>10</v>
      </c>
      <c r="AR102" s="131"/>
    </row>
    <row r="103" spans="43:44" x14ac:dyDescent="0.4">
      <c r="AQ103">
        <v>10</v>
      </c>
      <c r="AR103" s="131"/>
    </row>
    <row r="104" spans="43:44" x14ac:dyDescent="0.4">
      <c r="AQ104">
        <v>10</v>
      </c>
      <c r="AR104" s="131"/>
    </row>
    <row r="105" spans="43:44" x14ac:dyDescent="0.4">
      <c r="AQ105">
        <v>10</v>
      </c>
      <c r="AR105" s="131"/>
    </row>
    <row r="106" spans="43:44" x14ac:dyDescent="0.4">
      <c r="AQ106">
        <v>10</v>
      </c>
      <c r="AR106" s="131"/>
    </row>
    <row r="107" spans="43:44" x14ac:dyDescent="0.4">
      <c r="AQ107">
        <v>10</v>
      </c>
      <c r="AR107" s="131"/>
    </row>
    <row r="108" spans="43:44" x14ac:dyDescent="0.4">
      <c r="AQ108">
        <v>10</v>
      </c>
      <c r="AR108" s="131"/>
    </row>
    <row r="109" spans="43:44" x14ac:dyDescent="0.4">
      <c r="AQ109">
        <v>10</v>
      </c>
      <c r="AR109" s="131"/>
    </row>
    <row r="110" spans="43:44" x14ac:dyDescent="0.4">
      <c r="AQ110">
        <v>10</v>
      </c>
      <c r="AR110" s="131"/>
    </row>
    <row r="111" spans="43:44" x14ac:dyDescent="0.4">
      <c r="AQ111">
        <v>10</v>
      </c>
      <c r="AR111" s="131"/>
    </row>
    <row r="112" spans="43:44" x14ac:dyDescent="0.4">
      <c r="AQ112">
        <v>10</v>
      </c>
      <c r="AR112" s="131"/>
    </row>
    <row r="113" spans="43:44" x14ac:dyDescent="0.4">
      <c r="AQ113">
        <v>10</v>
      </c>
      <c r="AR113" s="131"/>
    </row>
    <row r="114" spans="43:44" x14ac:dyDescent="0.4">
      <c r="AQ114">
        <v>10</v>
      </c>
      <c r="AR114" s="131"/>
    </row>
  </sheetData>
  <mergeCells count="2">
    <mergeCell ref="AQ3:AS3"/>
    <mergeCell ref="AQ13:AR13"/>
  </mergeCells>
  <dataValidations disablePrompts="1" count="1">
    <dataValidation type="list" allowBlank="1" showInputMessage="1" showErrorMessage="1" sqref="AR15:AR39" xr:uid="{00000000-0002-0000-0500-000000000000}">
      <formula1>chw_short_list</formula1>
    </dataValidation>
  </dataValidation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40">
    <tabColor rgb="FFFFC000"/>
    <pageSetUpPr fitToPage="1"/>
  </sheetPr>
  <dimension ref="A1:AO114"/>
  <sheetViews>
    <sheetView showGridLines="0" zoomScale="70" zoomScaleNormal="70" zoomScaleSheetLayoutView="100" workbookViewId="0">
      <selection activeCell="D15" sqref="D15:L88"/>
    </sheetView>
  </sheetViews>
  <sheetFormatPr defaultColWidth="9.07421875" defaultRowHeight="15.9" x14ac:dyDescent="0.5"/>
  <cols>
    <col min="1" max="1" width="4.3046875" style="387" customWidth="1"/>
    <col min="2" max="2" width="21.3046875" style="387" customWidth="1"/>
    <col min="3" max="3" width="30.84375" style="387" customWidth="1"/>
    <col min="4" max="8" width="10.69140625" style="387" customWidth="1"/>
    <col min="9" max="9" width="10.3046875" style="387" bestFit="1" customWidth="1"/>
    <col min="10" max="12" width="10.69140625" style="387" customWidth="1"/>
    <col min="13" max="13" width="7.3046875" style="387" hidden="1" customWidth="1"/>
    <col min="14" max="14" width="16.4609375" style="387" hidden="1" customWidth="1"/>
    <col min="15" max="15" width="10.84375" style="387" customWidth="1"/>
    <col min="16" max="16" width="7.4609375" style="387" customWidth="1"/>
    <col min="17" max="20" width="9.07421875" style="387"/>
    <col min="21" max="21" width="9" style="387" customWidth="1"/>
    <col min="22" max="22" width="11.69140625" style="387" customWidth="1"/>
    <col min="23" max="23" width="10.4609375" style="387" customWidth="1"/>
    <col min="24" max="24" width="6.69140625" style="387" customWidth="1"/>
    <col min="25" max="25" width="9.07421875" style="387"/>
    <col min="26" max="26" width="12.69140625" style="387" customWidth="1"/>
    <col min="27" max="31" width="9.07421875" style="387"/>
    <col min="32" max="32" width="9.69140625" style="387" customWidth="1"/>
    <col min="33" max="39" width="9.07421875" style="387"/>
    <col min="40" max="40" width="10.69140625" style="387" customWidth="1"/>
    <col min="41" max="41" width="9.07421875" style="387"/>
    <col min="42" max="42" width="255.69140625" style="387" customWidth="1"/>
    <col min="43" max="16384" width="9.07421875" style="387"/>
  </cols>
  <sheetData>
    <row r="1" spans="1:41" ht="24" x14ac:dyDescent="0.8">
      <c r="A1" s="581" t="s">
        <v>1576</v>
      </c>
      <c r="B1" s="581"/>
      <c r="C1" s="581"/>
      <c r="D1" s="581"/>
      <c r="E1" s="581"/>
      <c r="F1" s="581"/>
      <c r="G1" s="581"/>
      <c r="H1" s="581"/>
      <c r="I1" s="581"/>
      <c r="J1" s="581"/>
      <c r="K1" s="581"/>
      <c r="L1" s="581"/>
      <c r="M1" s="581"/>
      <c r="N1" s="581"/>
      <c r="O1" s="581"/>
      <c r="P1" s="581"/>
      <c r="Q1" s="581"/>
      <c r="R1" s="581"/>
      <c r="S1" s="581"/>
      <c r="T1" s="581"/>
      <c r="U1" s="581"/>
      <c r="V1" s="581"/>
      <c r="W1" s="581"/>
      <c r="X1" s="581"/>
      <c r="Y1" s="581"/>
      <c r="Z1" s="581"/>
      <c r="AA1" s="605"/>
      <c r="AB1" s="605"/>
      <c r="AC1" s="605"/>
      <c r="AD1" s="605"/>
      <c r="AE1" s="605"/>
      <c r="AF1" s="605"/>
      <c r="AG1" s="605"/>
      <c r="AH1" s="605"/>
      <c r="AI1" s="605"/>
      <c r="AJ1" s="605"/>
      <c r="AK1" s="605"/>
      <c r="AL1" s="605"/>
      <c r="AM1" s="605"/>
      <c r="AN1" s="605"/>
      <c r="AO1" s="412"/>
    </row>
    <row r="2" spans="1:41" s="414" customFormat="1" ht="9" customHeight="1" x14ac:dyDescent="0.8">
      <c r="A2" s="413"/>
      <c r="B2" s="413"/>
      <c r="C2" s="413"/>
      <c r="D2" s="413"/>
      <c r="E2" s="413"/>
      <c r="F2" s="413"/>
      <c r="G2" s="413"/>
      <c r="H2" s="413"/>
      <c r="I2" s="413"/>
      <c r="J2" s="413"/>
      <c r="K2" s="413"/>
      <c r="L2" s="413"/>
      <c r="M2" s="413"/>
      <c r="N2" s="413"/>
      <c r="O2" s="413"/>
      <c r="P2" s="413"/>
      <c r="Q2" s="413"/>
      <c r="R2" s="413"/>
      <c r="S2" s="413"/>
      <c r="T2" s="413"/>
      <c r="U2" s="413"/>
      <c r="V2" s="413"/>
      <c r="W2" s="413"/>
      <c r="X2" s="413"/>
      <c r="Y2" s="413"/>
      <c r="Z2" s="413"/>
    </row>
    <row r="3" spans="1:41" ht="14.4" customHeight="1" x14ac:dyDescent="0.5">
      <c r="B3" s="415"/>
      <c r="C3" s="568" t="s">
        <v>1581</v>
      </c>
      <c r="D3" s="588"/>
      <c r="E3" s="589"/>
      <c r="F3" s="590"/>
      <c r="G3" s="588"/>
      <c r="H3" s="589"/>
      <c r="I3" s="590"/>
      <c r="J3" s="588"/>
      <c r="K3" s="589"/>
      <c r="L3" s="590"/>
      <c r="P3" s="599" t="s">
        <v>1577</v>
      </c>
      <c r="Q3" s="599"/>
      <c r="R3" s="599"/>
      <c r="S3" s="599"/>
      <c r="T3" s="599"/>
      <c r="U3" s="599"/>
      <c r="V3" s="599"/>
      <c r="W3" s="599"/>
      <c r="X3" s="599"/>
      <c r="Y3" s="600" t="s">
        <v>1578</v>
      </c>
      <c r="Z3" s="600"/>
      <c r="AA3" s="600"/>
      <c r="AB3" s="600"/>
      <c r="AC3" s="600"/>
      <c r="AD3" s="600"/>
      <c r="AE3" s="600"/>
      <c r="AF3" s="600"/>
      <c r="AG3" s="599" t="s">
        <v>1052</v>
      </c>
      <c r="AH3" s="599"/>
      <c r="AI3" s="599"/>
      <c r="AJ3" s="599"/>
      <c r="AK3" s="599"/>
      <c r="AL3" s="599"/>
      <c r="AM3" s="599"/>
      <c r="AN3" s="599"/>
    </row>
    <row r="4" spans="1:41" ht="56.25" customHeight="1" x14ac:dyDescent="0.5">
      <c r="B4" s="416"/>
      <c r="C4" s="569" t="s">
        <v>1570</v>
      </c>
      <c r="D4" s="591"/>
      <c r="E4" s="592"/>
      <c r="F4" s="593"/>
      <c r="G4" s="591"/>
      <c r="H4" s="592"/>
      <c r="I4" s="593"/>
      <c r="J4" s="591"/>
      <c r="K4" s="592"/>
      <c r="L4" s="593"/>
      <c r="P4" s="599"/>
      <c r="Q4" s="599"/>
      <c r="R4" s="599"/>
      <c r="S4" s="599"/>
      <c r="T4" s="599"/>
      <c r="U4" s="599"/>
      <c r="V4" s="599"/>
      <c r="W4" s="599"/>
      <c r="X4" s="599"/>
      <c r="Y4" s="600"/>
      <c r="Z4" s="600"/>
      <c r="AA4" s="600"/>
      <c r="AB4" s="600"/>
      <c r="AC4" s="600"/>
      <c r="AD4" s="600"/>
      <c r="AE4" s="600"/>
      <c r="AF4" s="600"/>
      <c r="AG4" s="599"/>
      <c r="AH4" s="599"/>
      <c r="AI4" s="599"/>
      <c r="AJ4" s="599"/>
      <c r="AK4" s="599"/>
      <c r="AL4" s="599"/>
      <c r="AM4" s="599"/>
      <c r="AN4" s="599"/>
    </row>
    <row r="5" spans="1:41" s="417" customFormat="1" ht="84" customHeight="1" x14ac:dyDescent="0.5">
      <c r="B5" s="418"/>
      <c r="C5" s="419"/>
      <c r="D5" s="420">
        <f>'1. Program Information'!$D7</f>
        <v>0</v>
      </c>
      <c r="E5" s="421" t="s">
        <v>1017</v>
      </c>
      <c r="F5" s="422" t="s">
        <v>1018</v>
      </c>
      <c r="G5" s="420">
        <f>'1. Program Information'!$D7</f>
        <v>0</v>
      </c>
      <c r="H5" s="421" t="s">
        <v>1017</v>
      </c>
      <c r="I5" s="422" t="s">
        <v>1018</v>
      </c>
      <c r="J5" s="420">
        <f>'1. Program Information'!$D7</f>
        <v>0</v>
      </c>
      <c r="K5" s="421" t="s">
        <v>1017</v>
      </c>
      <c r="L5" s="422" t="s">
        <v>1018</v>
      </c>
      <c r="AA5" s="598"/>
      <c r="AB5" s="598"/>
      <c r="AI5" s="598"/>
      <c r="AJ5" s="598"/>
    </row>
    <row r="6" spans="1:41" x14ac:dyDescent="0.5">
      <c r="B6" s="404" t="str">
        <f>IF(_chw1&lt;&gt;"",_chw1,"")</f>
        <v/>
      </c>
      <c r="C6" s="423"/>
      <c r="D6" s="424"/>
      <c r="E6" s="424"/>
      <c r="F6" s="547"/>
      <c r="G6" s="424"/>
      <c r="H6" s="424"/>
      <c r="I6" s="547"/>
      <c r="J6" s="424"/>
      <c r="K6" s="424"/>
      <c r="L6" s="547"/>
    </row>
    <row r="7" spans="1:41" x14ac:dyDescent="0.5">
      <c r="B7" s="407" t="str">
        <f>IF(_chw2&lt;&gt;"",_chw2,"")</f>
        <v/>
      </c>
      <c r="C7" s="425"/>
      <c r="D7" s="523"/>
      <c r="E7" s="426"/>
      <c r="F7" s="548"/>
      <c r="G7" s="523"/>
      <c r="H7" s="426"/>
      <c r="I7" s="548"/>
      <c r="J7" s="560"/>
      <c r="K7" s="560"/>
      <c r="L7" s="570"/>
    </row>
    <row r="8" spans="1:41" x14ac:dyDescent="0.5">
      <c r="B8" s="407" t="str">
        <f>IF(_chw3&lt;&gt;"",_chw3,"")</f>
        <v/>
      </c>
      <c r="C8" s="425"/>
      <c r="D8" s="426"/>
      <c r="E8" s="426"/>
      <c r="F8" s="548"/>
      <c r="G8" s="426"/>
      <c r="H8" s="426"/>
      <c r="I8" s="548"/>
      <c r="J8" s="426"/>
      <c r="K8" s="426"/>
      <c r="L8" s="548"/>
    </row>
    <row r="9" spans="1:41" x14ac:dyDescent="0.5">
      <c r="B9" s="407" t="str">
        <f>IF(_chw4&lt;&gt;"",_chw4,"")</f>
        <v/>
      </c>
      <c r="C9" s="425"/>
      <c r="D9" s="426"/>
      <c r="E9" s="426"/>
      <c r="F9" s="427"/>
      <c r="G9" s="426"/>
      <c r="H9" s="426"/>
      <c r="I9" s="427"/>
      <c r="J9" s="560"/>
      <c r="K9" s="560"/>
      <c r="L9" s="564"/>
      <c r="Z9" s="412"/>
      <c r="AH9" s="412"/>
    </row>
    <row r="10" spans="1:41" x14ac:dyDescent="0.5">
      <c r="B10" s="407"/>
      <c r="C10" s="425"/>
      <c r="D10" s="426"/>
      <c r="E10" s="426"/>
      <c r="F10" s="427"/>
      <c r="G10" s="426"/>
      <c r="H10" s="426"/>
      <c r="I10" s="427"/>
      <c r="J10" s="426"/>
      <c r="K10" s="426"/>
      <c r="L10" s="427"/>
    </row>
    <row r="11" spans="1:41" x14ac:dyDescent="0.5">
      <c r="B11" s="402"/>
      <c r="C11" s="428"/>
      <c r="D11" s="429"/>
      <c r="E11" s="429"/>
      <c r="F11" s="430"/>
      <c r="G11" s="429"/>
      <c r="H11" s="429"/>
      <c r="I11" s="430"/>
      <c r="J11" s="429"/>
      <c r="K11" s="429"/>
      <c r="L11" s="430"/>
    </row>
    <row r="12" spans="1:41" ht="39.75" customHeight="1" x14ac:dyDescent="0.5">
      <c r="B12" s="398"/>
      <c r="C12" s="431"/>
      <c r="D12" s="432"/>
      <c r="E12" s="432"/>
      <c r="F12" s="433"/>
      <c r="G12" s="432"/>
      <c r="H12" s="432"/>
      <c r="I12" s="433"/>
      <c r="J12" s="432"/>
      <c r="K12" s="432"/>
      <c r="L12" s="433"/>
    </row>
    <row r="13" spans="1:41" x14ac:dyDescent="0.5">
      <c r="B13" s="415"/>
      <c r="C13" s="434"/>
      <c r="D13" s="585">
        <f>D3</f>
        <v>0</v>
      </c>
      <c r="E13" s="586"/>
      <c r="F13" s="586"/>
      <c r="G13" s="585">
        <f>G3</f>
        <v>0</v>
      </c>
      <c r="H13" s="586"/>
      <c r="I13" s="587"/>
      <c r="J13" s="586">
        <f>J3</f>
        <v>0</v>
      </c>
      <c r="K13" s="586"/>
      <c r="L13" s="587"/>
    </row>
    <row r="14" spans="1:41" ht="37.5" customHeight="1" x14ac:dyDescent="0.5">
      <c r="B14" s="435"/>
      <c r="D14" s="610" t="s">
        <v>1034</v>
      </c>
      <c r="E14" s="594"/>
      <c r="F14" s="436" t="s">
        <v>1035</v>
      </c>
      <c r="G14" s="610" t="s">
        <v>1034</v>
      </c>
      <c r="H14" s="594"/>
      <c r="I14" s="437" t="s">
        <v>1035</v>
      </c>
      <c r="J14" s="594" t="s">
        <v>1034</v>
      </c>
      <c r="K14" s="594"/>
      <c r="L14" s="437" t="s">
        <v>1035</v>
      </c>
    </row>
    <row r="15" spans="1:41" x14ac:dyDescent="0.5">
      <c r="B15" s="404" t="str">
        <f>IF(CHW_Time!B6&lt;&gt;"",CHW_Time!B6,"")</f>
        <v/>
      </c>
      <c r="C15" s="423"/>
      <c r="D15" s="438"/>
      <c r="E15" s="424"/>
      <c r="F15" s="439"/>
      <c r="G15" s="438"/>
      <c r="H15" s="424"/>
      <c r="I15" s="439"/>
      <c r="J15" s="440"/>
      <c r="K15" s="424"/>
      <c r="L15" s="441"/>
    </row>
    <row r="16" spans="1:41" ht="14.15" customHeight="1" x14ac:dyDescent="0.5">
      <c r="B16" s="407" t="str">
        <f>IF(CHW_Time!B7&lt;&gt;"",CHW_Time!B7,"")</f>
        <v/>
      </c>
      <c r="C16" s="425"/>
      <c r="D16" s="442"/>
      <c r="E16" s="426"/>
      <c r="F16" s="441"/>
      <c r="G16" s="442"/>
      <c r="H16" s="426"/>
      <c r="I16" s="441"/>
      <c r="J16" s="559"/>
      <c r="K16" s="426"/>
      <c r="L16" s="441"/>
    </row>
    <row r="17" spans="2:41" x14ac:dyDescent="0.5">
      <c r="B17" s="407" t="str">
        <f>IF(CHW_Time!B8&lt;&gt;"",CHW_Time!B8,"")</f>
        <v/>
      </c>
      <c r="C17" s="425"/>
      <c r="D17" s="442"/>
      <c r="E17" s="426"/>
      <c r="F17" s="441"/>
      <c r="G17" s="442"/>
      <c r="H17" s="426"/>
      <c r="I17" s="441"/>
      <c r="J17" s="559"/>
      <c r="K17" s="560"/>
      <c r="L17" s="558"/>
    </row>
    <row r="18" spans="2:41" x14ac:dyDescent="0.5">
      <c r="B18" s="407" t="str">
        <f>IF(CHW_Time!B9&lt;&gt;"",CHW_Time!B9,"")</f>
        <v/>
      </c>
      <c r="C18" s="425"/>
      <c r="D18" s="442"/>
      <c r="E18" s="426"/>
      <c r="F18" s="441"/>
      <c r="G18" s="442"/>
      <c r="H18" s="426"/>
      <c r="I18" s="441"/>
      <c r="J18" s="442"/>
      <c r="K18" s="426"/>
      <c r="L18" s="441"/>
    </row>
    <row r="19" spans="2:41" x14ac:dyDescent="0.5">
      <c r="B19" s="407" t="str">
        <f>IF(CHW_Time!B10&lt;&gt;"",CHW_Time!B10,"")</f>
        <v/>
      </c>
      <c r="C19" s="425"/>
      <c r="D19" s="442"/>
      <c r="E19" s="426"/>
      <c r="F19" s="441"/>
      <c r="G19" s="442"/>
      <c r="H19" s="426"/>
      <c r="I19" s="441"/>
      <c r="J19" s="559"/>
      <c r="K19" s="426"/>
      <c r="L19" s="441"/>
    </row>
    <row r="20" spans="2:41" x14ac:dyDescent="0.5">
      <c r="B20" s="407" t="str">
        <f>IF(CHW_Time!B11&lt;&gt;"",CHW_Time!B11,"")</f>
        <v/>
      </c>
      <c r="C20" s="425"/>
      <c r="D20" s="442"/>
      <c r="E20" s="426"/>
      <c r="F20" s="441"/>
      <c r="G20" s="442"/>
      <c r="H20" s="426"/>
      <c r="I20" s="441"/>
      <c r="J20" s="559"/>
      <c r="K20" s="560"/>
      <c r="L20" s="558"/>
    </row>
    <row r="21" spans="2:41" ht="14.4" customHeight="1" x14ac:dyDescent="0.5">
      <c r="B21" s="407" t="str">
        <f>IF(CHW_Time!B12&lt;&gt;"",CHW_Time!B12,"")</f>
        <v/>
      </c>
      <c r="C21" s="425"/>
      <c r="D21" s="442"/>
      <c r="E21" s="426"/>
      <c r="F21" s="441"/>
      <c r="G21" s="442"/>
      <c r="H21" s="426"/>
      <c r="I21" s="441"/>
      <c r="J21" s="442"/>
      <c r="K21" s="426"/>
      <c r="L21" s="441"/>
      <c r="P21" s="607" t="s">
        <v>1579</v>
      </c>
      <c r="Q21" s="607"/>
      <c r="R21" s="607"/>
      <c r="S21" s="607"/>
      <c r="T21" s="607"/>
      <c r="U21" s="607"/>
      <c r="V21" s="607"/>
      <c r="W21" s="607"/>
      <c r="X21" s="607"/>
      <c r="Y21" s="607"/>
      <c r="Z21" s="607"/>
      <c r="AA21" s="607"/>
      <c r="AB21" s="607"/>
      <c r="AC21" s="607"/>
      <c r="AD21" s="607"/>
      <c r="AE21" s="607"/>
      <c r="AF21" s="607"/>
    </row>
    <row r="22" spans="2:41" ht="14.4" customHeight="1" x14ac:dyDescent="0.5">
      <c r="B22" s="407" t="str">
        <f>IF(CHW_Time!B13&lt;&gt;"",CHW_Time!B13,"")</f>
        <v/>
      </c>
      <c r="C22" s="425"/>
      <c r="D22" s="442"/>
      <c r="E22" s="426"/>
      <c r="F22" s="441"/>
      <c r="G22" s="442"/>
      <c r="H22" s="426"/>
      <c r="I22" s="441"/>
      <c r="J22" s="559"/>
      <c r="K22" s="426"/>
      <c r="L22" s="441"/>
      <c r="P22" s="607"/>
      <c r="Q22" s="607"/>
      <c r="R22" s="607"/>
      <c r="S22" s="607"/>
      <c r="T22" s="607"/>
      <c r="U22" s="607"/>
      <c r="V22" s="607"/>
      <c r="W22" s="607"/>
      <c r="X22" s="607"/>
      <c r="Y22" s="607"/>
      <c r="Z22" s="607"/>
      <c r="AA22" s="607"/>
      <c r="AB22" s="607"/>
      <c r="AC22" s="607"/>
      <c r="AD22" s="607"/>
      <c r="AE22" s="607"/>
      <c r="AF22" s="607"/>
    </row>
    <row r="23" spans="2:41" ht="14.4" customHeight="1" x14ac:dyDescent="0.5">
      <c r="B23" s="407" t="str">
        <f>IF(CHW_Time!B14&lt;&gt;"",CHW_Time!B14,"")</f>
        <v/>
      </c>
      <c r="C23" s="425"/>
      <c r="D23" s="442"/>
      <c r="E23" s="426"/>
      <c r="F23" s="441"/>
      <c r="G23" s="442"/>
      <c r="H23" s="426"/>
      <c r="I23" s="441"/>
      <c r="J23" s="559"/>
      <c r="K23" s="560"/>
      <c r="L23" s="558"/>
      <c r="P23" s="606" t="s">
        <v>1053</v>
      </c>
      <c r="Q23" s="606"/>
      <c r="R23" s="608" t="s">
        <v>1583</v>
      </c>
      <c r="S23" s="608"/>
      <c r="T23" s="608"/>
      <c r="U23" s="608"/>
      <c r="V23" s="608"/>
      <c r="W23" s="608"/>
      <c r="X23" s="609"/>
      <c r="Y23" s="595" t="s">
        <v>1573</v>
      </c>
      <c r="Z23" s="596"/>
      <c r="AA23" s="596"/>
      <c r="AB23" s="596"/>
      <c r="AC23" s="596"/>
      <c r="AD23" s="596"/>
      <c r="AE23" s="596"/>
      <c r="AF23" s="596"/>
      <c r="AG23" s="601"/>
      <c r="AH23" s="601"/>
      <c r="AI23" s="601"/>
      <c r="AJ23" s="601"/>
      <c r="AK23" s="601"/>
      <c r="AL23" s="601"/>
      <c r="AM23" s="601"/>
      <c r="AN23" s="601"/>
      <c r="AO23" s="601"/>
    </row>
    <row r="24" spans="2:41" ht="14.4" customHeight="1" x14ac:dyDescent="0.5">
      <c r="B24" s="407" t="str">
        <f>IF(CHW_Time!B15&lt;&gt;"",CHW_Time!B15,"")</f>
        <v/>
      </c>
      <c r="C24" s="425"/>
      <c r="D24" s="442"/>
      <c r="E24" s="426"/>
      <c r="F24" s="441"/>
      <c r="G24" s="442"/>
      <c r="H24" s="426"/>
      <c r="I24" s="441"/>
      <c r="J24" s="442"/>
      <c r="K24" s="426"/>
      <c r="L24" s="441"/>
      <c r="P24" s="606" t="s">
        <v>1033</v>
      </c>
      <c r="Q24" s="606"/>
      <c r="R24" s="608" t="s">
        <v>1567</v>
      </c>
      <c r="S24" s="608"/>
      <c r="T24" s="608"/>
      <c r="U24" s="608"/>
      <c r="V24" s="608"/>
      <c r="W24" s="608"/>
      <c r="X24" s="609"/>
      <c r="Y24" s="597"/>
      <c r="Z24" s="596"/>
      <c r="AA24" s="596"/>
      <c r="AB24" s="596"/>
      <c r="AC24" s="596"/>
      <c r="AD24" s="596"/>
      <c r="AE24" s="596"/>
      <c r="AF24" s="596"/>
      <c r="AG24" s="601"/>
      <c r="AH24" s="601"/>
      <c r="AI24" s="601"/>
      <c r="AJ24" s="601"/>
      <c r="AK24" s="601"/>
      <c r="AL24" s="601"/>
      <c r="AM24" s="601"/>
      <c r="AN24" s="601"/>
      <c r="AO24" s="601"/>
    </row>
    <row r="25" spans="2:41" ht="14.4" customHeight="1" x14ac:dyDescent="0.5">
      <c r="B25" s="407" t="str">
        <f>IF(CHW_Time!B16&lt;&gt;"",CHW_Time!B16,"")</f>
        <v/>
      </c>
      <c r="C25" s="425"/>
      <c r="D25" s="442"/>
      <c r="E25" s="426"/>
      <c r="F25" s="441"/>
      <c r="G25" s="442"/>
      <c r="H25" s="426"/>
      <c r="I25" s="441"/>
      <c r="J25" s="559"/>
      <c r="K25" s="426"/>
      <c r="L25" s="441"/>
      <c r="P25" s="602" t="s">
        <v>77</v>
      </c>
      <c r="Q25" s="602"/>
      <c r="R25" s="602"/>
      <c r="S25" s="602"/>
      <c r="T25" s="602"/>
      <c r="U25" s="602"/>
      <c r="V25" s="602"/>
      <c r="W25" s="602"/>
      <c r="X25" s="602"/>
      <c r="Y25" s="604" t="s">
        <v>1574</v>
      </c>
      <c r="Z25" s="604"/>
      <c r="AA25" s="604"/>
      <c r="AB25" s="604"/>
      <c r="AC25" s="604"/>
      <c r="AD25" s="604"/>
      <c r="AE25" s="604"/>
      <c r="AF25" s="604"/>
    </row>
    <row r="26" spans="2:41" ht="14.4" customHeight="1" x14ac:dyDescent="0.5">
      <c r="B26" s="407" t="str">
        <f>IF(CHW_Time!B17&lt;&gt;"",CHW_Time!B17,"")</f>
        <v/>
      </c>
      <c r="C26" s="425"/>
      <c r="D26" s="442"/>
      <c r="E26" s="426"/>
      <c r="F26" s="441"/>
      <c r="G26" s="442"/>
      <c r="H26" s="426"/>
      <c r="I26" s="441"/>
      <c r="J26" s="559"/>
      <c r="K26" s="560"/>
      <c r="L26" s="558"/>
      <c r="P26" s="603"/>
      <c r="Q26" s="603"/>
      <c r="R26" s="603"/>
      <c r="S26" s="603"/>
      <c r="T26" s="603"/>
      <c r="U26" s="603"/>
      <c r="V26" s="603"/>
      <c r="W26" s="603"/>
      <c r="X26" s="603"/>
      <c r="Y26" s="604"/>
      <c r="Z26" s="604"/>
      <c r="AA26" s="604"/>
      <c r="AB26" s="604"/>
      <c r="AC26" s="604"/>
      <c r="AD26" s="604"/>
      <c r="AE26" s="604"/>
      <c r="AF26" s="604"/>
    </row>
    <row r="27" spans="2:41" x14ac:dyDescent="0.5">
      <c r="B27" s="407" t="str">
        <f>IF(CHW_Time!B18&lt;&gt;"",CHW_Time!B18,"")</f>
        <v/>
      </c>
      <c r="C27" s="425"/>
      <c r="D27" s="442"/>
      <c r="E27" s="426"/>
      <c r="F27" s="441"/>
      <c r="G27" s="442"/>
      <c r="H27" s="426"/>
      <c r="I27" s="441"/>
      <c r="J27" s="442"/>
      <c r="K27" s="426"/>
      <c r="L27" s="441"/>
      <c r="P27" s="443"/>
      <c r="Q27" s="434"/>
      <c r="R27" s="434"/>
      <c r="S27" s="434"/>
      <c r="T27" s="434"/>
      <c r="U27" s="434"/>
      <c r="V27" s="434"/>
      <c r="W27" s="434"/>
      <c r="X27" s="444"/>
    </row>
    <row r="28" spans="2:41" x14ac:dyDescent="0.5">
      <c r="B28" s="407" t="str">
        <f>IF(CHW_Time!B19&lt;&gt;"",CHW_Time!B19,"")</f>
        <v/>
      </c>
      <c r="C28" s="425"/>
      <c r="D28" s="442"/>
      <c r="E28" s="426"/>
      <c r="F28" s="441"/>
      <c r="G28" s="442"/>
      <c r="H28" s="426"/>
      <c r="I28" s="441"/>
      <c r="J28" s="559"/>
      <c r="K28" s="426"/>
      <c r="L28" s="441"/>
      <c r="P28" s="416">
        <v>1</v>
      </c>
      <c r="Q28" s="387" t="str">
        <f ca="1">IFERROR(VLOOKUP(P28,CHW_Time!AT$6:AU$105,2,FALSE),"")</f>
        <v/>
      </c>
      <c r="X28" s="425"/>
    </row>
    <row r="29" spans="2:41" x14ac:dyDescent="0.5">
      <c r="B29" s="407" t="str">
        <f>IF(CHW_Time!B20&lt;&gt;"",CHW_Time!B20,"")</f>
        <v/>
      </c>
      <c r="C29" s="425"/>
      <c r="D29" s="442"/>
      <c r="E29" s="426"/>
      <c r="F29" s="441"/>
      <c r="G29" s="442"/>
      <c r="H29" s="426"/>
      <c r="I29" s="441"/>
      <c r="J29" s="559"/>
      <c r="K29" s="560"/>
      <c r="L29" s="558"/>
      <c r="P29" s="416">
        <v>2</v>
      </c>
      <c r="Q29" s="387" t="str">
        <f ca="1">IFERROR(VLOOKUP(P29,CHW_Time!AT$6:AU$105,2,FALSE),"")</f>
        <v/>
      </c>
      <c r="X29" s="425"/>
    </row>
    <row r="30" spans="2:41" x14ac:dyDescent="0.5">
      <c r="B30" s="407" t="str">
        <f>IF(CHW_Time!B21&lt;&gt;"",CHW_Time!B21,"")</f>
        <v/>
      </c>
      <c r="C30" s="425"/>
      <c r="D30" s="442"/>
      <c r="E30" s="426"/>
      <c r="F30" s="441"/>
      <c r="G30" s="442"/>
      <c r="H30" s="426"/>
      <c r="I30" s="441"/>
      <c r="J30" s="442"/>
      <c r="K30" s="426"/>
      <c r="L30" s="441"/>
      <c r="P30" s="416">
        <v>3</v>
      </c>
      <c r="Q30" s="387" t="str">
        <f ca="1">IFERROR(VLOOKUP(P30,CHW_Time!AT$6:AU$105,2,FALSE),"")</f>
        <v/>
      </c>
      <c r="X30" s="425"/>
    </row>
    <row r="31" spans="2:41" x14ac:dyDescent="0.5">
      <c r="B31" s="407" t="str">
        <f>IF(CHW_Time!B22&lt;&gt;"",CHW_Time!B22,"")</f>
        <v/>
      </c>
      <c r="C31" s="425"/>
      <c r="D31" s="442"/>
      <c r="E31" s="426"/>
      <c r="F31" s="441"/>
      <c r="G31" s="442"/>
      <c r="H31" s="426"/>
      <c r="I31" s="441"/>
      <c r="J31" s="559"/>
      <c r="K31" s="426"/>
      <c r="L31" s="441"/>
      <c r="P31" s="416">
        <v>4</v>
      </c>
      <c r="Q31" s="387" t="str">
        <f ca="1">IFERROR(VLOOKUP(P31,CHW_Time!AT$6:AU$105,2,FALSE),"")</f>
        <v/>
      </c>
      <c r="X31" s="425"/>
    </row>
    <row r="32" spans="2:41" x14ac:dyDescent="0.5">
      <c r="B32" s="407" t="str">
        <f>IF(CHW_Time!B23&lt;&gt;"",CHW_Time!B23,"")</f>
        <v/>
      </c>
      <c r="C32" s="425"/>
      <c r="D32" s="442"/>
      <c r="E32" s="426"/>
      <c r="F32" s="441"/>
      <c r="G32" s="442"/>
      <c r="H32" s="426"/>
      <c r="I32" s="441"/>
      <c r="J32" s="559"/>
      <c r="K32" s="560"/>
      <c r="L32" s="558"/>
      <c r="P32" s="416">
        <v>5</v>
      </c>
      <c r="Q32" s="431" t="str">
        <f ca="1">IFERROR(VLOOKUP(P32,CHW_Time!AT$6:AU$105,2,FALSE),"")</f>
        <v/>
      </c>
      <c r="R32" s="431"/>
      <c r="S32" s="431"/>
      <c r="T32" s="431"/>
      <c r="U32" s="431"/>
      <c r="V32" s="431"/>
      <c r="W32" s="431"/>
      <c r="X32" s="425"/>
    </row>
    <row r="33" spans="2:32" x14ac:dyDescent="0.5">
      <c r="B33" s="407" t="str">
        <f>IF(CHW_Time!B24&lt;&gt;"",CHW_Time!B24,"")</f>
        <v/>
      </c>
      <c r="C33" s="425"/>
      <c r="D33" s="442"/>
      <c r="E33" s="426"/>
      <c r="F33" s="441"/>
      <c r="G33" s="442"/>
      <c r="H33" s="426"/>
      <c r="I33" s="441"/>
      <c r="J33" s="442"/>
      <c r="K33" s="426"/>
      <c r="L33" s="441"/>
      <c r="P33" s="416">
        <v>6</v>
      </c>
      <c r="Q33" s="387" t="str">
        <f ca="1">IFERROR(VLOOKUP(P33,CHW_Time!AT$6:AU$105,2,FALSE),"")</f>
        <v/>
      </c>
      <c r="X33" s="425"/>
    </row>
    <row r="34" spans="2:32" x14ac:dyDescent="0.5">
      <c r="B34" s="407" t="str">
        <f>IF(CHW_Time!B25&lt;&gt;"",CHW_Time!B25,"")</f>
        <v/>
      </c>
      <c r="C34" s="425"/>
      <c r="D34" s="442"/>
      <c r="E34" s="426"/>
      <c r="F34" s="441"/>
      <c r="G34" s="442"/>
      <c r="H34" s="426"/>
      <c r="I34" s="441"/>
      <c r="J34" s="442"/>
      <c r="K34" s="426"/>
      <c r="L34" s="558"/>
      <c r="P34" s="416">
        <v>7</v>
      </c>
      <c r="Q34" s="387" t="str">
        <f ca="1">IFERROR(VLOOKUP(P34,CHW_Time!AT$6:AU$105,2,FALSE),"")</f>
        <v/>
      </c>
      <c r="X34" s="425"/>
    </row>
    <row r="35" spans="2:32" x14ac:dyDescent="0.5">
      <c r="B35" s="407" t="str">
        <f>IF(CHW_Time!B26&lt;&gt;"",CHW_Time!B26,"")</f>
        <v/>
      </c>
      <c r="C35" s="425"/>
      <c r="D35" s="442"/>
      <c r="E35" s="426"/>
      <c r="F35" s="441"/>
      <c r="G35" s="442"/>
      <c r="H35" s="426"/>
      <c r="I35" s="441"/>
      <c r="J35" s="442"/>
      <c r="K35" s="426"/>
      <c r="L35" s="558"/>
      <c r="P35" s="416">
        <v>8</v>
      </c>
      <c r="Q35" s="387" t="str">
        <f ca="1">IFERROR(VLOOKUP(P35,CHW_Time!AT$6:AU$105,2,FALSE),"")</f>
        <v/>
      </c>
      <c r="X35" s="425"/>
    </row>
    <row r="36" spans="2:32" x14ac:dyDescent="0.5">
      <c r="B36" s="407" t="str">
        <f>IF(CHW_Time!B27&lt;&gt;"",CHW_Time!B27,"")</f>
        <v/>
      </c>
      <c r="C36" s="425"/>
      <c r="D36" s="442"/>
      <c r="E36" s="426"/>
      <c r="F36" s="441"/>
      <c r="G36" s="442"/>
      <c r="H36" s="426"/>
      <c r="I36" s="441"/>
      <c r="J36" s="442"/>
      <c r="K36" s="426"/>
      <c r="L36" s="558"/>
      <c r="P36" s="416">
        <v>9</v>
      </c>
      <c r="Q36" s="387" t="str">
        <f ca="1">IFERROR(VLOOKUP(P36,CHW_Time!AT$6:AU$105,2,FALSE),"")</f>
        <v/>
      </c>
      <c r="X36" s="425"/>
    </row>
    <row r="37" spans="2:32" x14ac:dyDescent="0.5">
      <c r="B37" s="407" t="str">
        <f>IF(CHW_Time!B28&lt;&gt;"",CHW_Time!B28,"")</f>
        <v/>
      </c>
      <c r="C37" s="425"/>
      <c r="D37" s="442"/>
      <c r="E37" s="426"/>
      <c r="F37" s="441"/>
      <c r="G37" s="442"/>
      <c r="H37" s="426"/>
      <c r="I37" s="441"/>
      <c r="J37" s="442"/>
      <c r="K37" s="426"/>
      <c r="L37" s="558"/>
      <c r="P37" s="435">
        <v>10</v>
      </c>
      <c r="Q37" s="445" t="str">
        <f ca="1">IFERROR(VLOOKUP(P37,CHW_Time!AT$6:AU$105,2,FALSE),"")</f>
        <v/>
      </c>
      <c r="R37" s="445"/>
      <c r="S37" s="445"/>
      <c r="T37" s="445"/>
      <c r="U37" s="445"/>
      <c r="V37" s="445"/>
      <c r="W37" s="445"/>
      <c r="X37" s="428"/>
    </row>
    <row r="38" spans="2:32" x14ac:dyDescent="0.5">
      <c r="B38" s="407" t="str">
        <f>IF(CHW_Time!B29&lt;&gt;"",CHW_Time!B29,"")</f>
        <v/>
      </c>
      <c r="C38" s="425"/>
      <c r="D38" s="442"/>
      <c r="E38" s="426"/>
      <c r="F38" s="441"/>
      <c r="G38" s="442"/>
      <c r="H38" s="426"/>
      <c r="I38" s="441"/>
      <c r="J38" s="442"/>
      <c r="K38" s="426"/>
      <c r="L38" s="441"/>
    </row>
    <row r="39" spans="2:32" x14ac:dyDescent="0.5">
      <c r="B39" s="407" t="str">
        <f>IF(CHW_Time!B30&lt;&gt;"",CHW_Time!B30,"")</f>
        <v/>
      </c>
      <c r="C39" s="425"/>
      <c r="D39" s="442"/>
      <c r="E39" s="426"/>
      <c r="F39" s="441"/>
      <c r="G39" s="442"/>
      <c r="H39" s="426"/>
      <c r="I39" s="441"/>
      <c r="J39" s="442"/>
      <c r="K39" s="426"/>
      <c r="L39" s="558"/>
    </row>
    <row r="40" spans="2:32" x14ac:dyDescent="0.5">
      <c r="B40" s="407" t="str">
        <f>IF(CHW_Time!B31&lt;&gt;"",CHW_Time!B31,"")</f>
        <v/>
      </c>
      <c r="C40" s="425"/>
      <c r="D40" s="442"/>
      <c r="E40" s="426"/>
      <c r="F40" s="441"/>
      <c r="G40" s="442"/>
      <c r="H40" s="426"/>
      <c r="I40" s="441"/>
      <c r="J40" s="442"/>
      <c r="K40" s="426"/>
      <c r="L40" s="558"/>
    </row>
    <row r="41" spans="2:32" x14ac:dyDescent="0.5">
      <c r="B41" s="407" t="str">
        <f>IF(CHW_Time!B32&lt;&gt;"",CHW_Time!B32,"")</f>
        <v/>
      </c>
      <c r="C41" s="425"/>
      <c r="D41" s="442"/>
      <c r="E41" s="426"/>
      <c r="F41" s="441"/>
      <c r="G41" s="442"/>
      <c r="H41" s="426"/>
      <c r="I41" s="441"/>
      <c r="J41" s="442"/>
      <c r="K41" s="426"/>
      <c r="L41" s="558"/>
    </row>
    <row r="42" spans="2:32" x14ac:dyDescent="0.5">
      <c r="B42" s="407" t="str">
        <f>IF(CHW_Time!B33&lt;&gt;"",CHW_Time!B33,"")</f>
        <v/>
      </c>
      <c r="C42" s="425"/>
      <c r="D42" s="442"/>
      <c r="E42" s="426"/>
      <c r="F42" s="441"/>
      <c r="G42" s="442"/>
      <c r="H42" s="426"/>
      <c r="I42" s="441"/>
      <c r="J42" s="442"/>
      <c r="K42" s="426"/>
      <c r="L42" s="558"/>
    </row>
    <row r="43" spans="2:32" x14ac:dyDescent="0.5">
      <c r="B43" s="407" t="str">
        <f>IF(CHW_Time!B34&lt;&gt;"",CHW_Time!B34,"")</f>
        <v/>
      </c>
      <c r="C43" s="425"/>
      <c r="D43" s="442"/>
      <c r="E43" s="426"/>
      <c r="F43" s="441"/>
      <c r="G43" s="442"/>
      <c r="H43" s="426"/>
      <c r="I43" s="441"/>
      <c r="J43" s="442"/>
      <c r="K43" s="426"/>
      <c r="L43" s="558"/>
      <c r="P43" s="602" t="s">
        <v>1562</v>
      </c>
      <c r="Q43" s="602"/>
      <c r="R43" s="602"/>
      <c r="S43" s="602"/>
      <c r="T43" s="602"/>
      <c r="U43" s="602"/>
      <c r="V43" s="602"/>
      <c r="W43" s="602"/>
      <c r="X43" s="602"/>
      <c r="Y43" s="604" t="s">
        <v>1563</v>
      </c>
      <c r="Z43" s="604"/>
      <c r="AA43" s="604"/>
      <c r="AB43" s="604"/>
      <c r="AC43" s="604"/>
      <c r="AD43" s="604"/>
      <c r="AE43" s="604"/>
      <c r="AF43" s="604"/>
    </row>
    <row r="44" spans="2:32" x14ac:dyDescent="0.5">
      <c r="B44" s="407" t="str">
        <f>IF(CHW_Time!B35&lt;&gt;"",CHW_Time!B35,"")</f>
        <v/>
      </c>
      <c r="C44" s="425"/>
      <c r="D44" s="442"/>
      <c r="E44" s="426"/>
      <c r="F44" s="441"/>
      <c r="G44" s="442"/>
      <c r="H44" s="426"/>
      <c r="I44" s="441"/>
      <c r="J44" s="442"/>
      <c r="K44" s="426"/>
      <c r="L44" s="558"/>
      <c r="P44" s="603"/>
      <c r="Q44" s="603"/>
      <c r="R44" s="603"/>
      <c r="S44" s="603"/>
      <c r="T44" s="603"/>
      <c r="U44" s="603"/>
      <c r="V44" s="603"/>
      <c r="W44" s="603"/>
      <c r="X44" s="603"/>
      <c r="Y44" s="604"/>
      <c r="Z44" s="604"/>
      <c r="AA44" s="604"/>
      <c r="AB44" s="604"/>
      <c r="AC44" s="604"/>
      <c r="AD44" s="604"/>
      <c r="AE44" s="604"/>
      <c r="AF44" s="604"/>
    </row>
    <row r="45" spans="2:32" x14ac:dyDescent="0.5">
      <c r="B45" s="407" t="str">
        <f>IF(CHW_Time!B36&lt;&gt;"",CHW_Time!B36,"")</f>
        <v/>
      </c>
      <c r="C45" s="425"/>
      <c r="D45" s="442"/>
      <c r="E45" s="426"/>
      <c r="F45" s="441"/>
      <c r="G45" s="442"/>
      <c r="H45" s="426"/>
      <c r="I45" s="441"/>
      <c r="J45" s="442"/>
      <c r="K45" s="426"/>
      <c r="L45" s="558"/>
    </row>
    <row r="46" spans="2:32" x14ac:dyDescent="0.5">
      <c r="B46" s="407" t="str">
        <f>IF(CHW_Time!B37&lt;&gt;"",CHW_Time!B37,"")</f>
        <v/>
      </c>
      <c r="C46" s="425"/>
      <c r="D46" s="442"/>
      <c r="E46" s="426"/>
      <c r="F46" s="441"/>
      <c r="G46" s="442"/>
      <c r="H46" s="426"/>
      <c r="I46" s="441"/>
      <c r="J46" s="554"/>
      <c r="K46" s="426"/>
      <c r="L46" s="441"/>
      <c r="P46" s="538" t="s">
        <v>1580</v>
      </c>
      <c r="S46" s="538" t="s">
        <v>1560</v>
      </c>
      <c r="V46" s="538" t="s">
        <v>1561</v>
      </c>
    </row>
    <row r="47" spans="2:32" x14ac:dyDescent="0.5">
      <c r="B47" s="407" t="str">
        <f>IF(CHW_Time!B38&lt;&gt;"",CHW_Time!B38,"")</f>
        <v/>
      </c>
      <c r="C47" s="425"/>
      <c r="D47" s="442"/>
      <c r="E47" s="426"/>
      <c r="F47" s="441"/>
      <c r="G47" s="442"/>
      <c r="H47" s="426"/>
      <c r="I47" s="441"/>
      <c r="J47" s="442"/>
      <c r="K47" s="426"/>
      <c r="L47" s="558"/>
      <c r="P47" s="387" t="str">
        <f>'policy interact graph numbers'!BG27</f>
        <v>Service delivery</v>
      </c>
      <c r="S47" s="525" t="e">
        <f ca="1">'policy interact graph numbers'!BH27*VLOOKUP(R$23,'policy interact graph numbers'!AZ$27:BE$32,5,FALSE)</f>
        <v>#N/A</v>
      </c>
    </row>
    <row r="48" spans="2:32" x14ac:dyDescent="0.5">
      <c r="B48" s="407" t="str">
        <f>IF(CHW_Time!B39&lt;&gt;"",CHW_Time!B39,"")</f>
        <v/>
      </c>
      <c r="C48" s="425"/>
      <c r="D48" s="442"/>
      <c r="E48" s="426"/>
      <c r="F48" s="441"/>
      <c r="G48" s="442"/>
      <c r="H48" s="426"/>
      <c r="I48" s="441"/>
      <c r="J48" s="442"/>
      <c r="K48" s="426"/>
      <c r="L48" s="558"/>
      <c r="P48" s="387" t="str">
        <f>'policy interact graph numbers'!BG28</f>
        <v>Travel</v>
      </c>
      <c r="S48" s="525" t="e">
        <f ca="1">'policy interact graph numbers'!BH28*VLOOKUP(R$23,'policy interact graph numbers'!AZ$27:BE$32,5,FALSE)</f>
        <v>#N/A</v>
      </c>
    </row>
    <row r="49" spans="2:23" x14ac:dyDescent="0.5">
      <c r="B49" s="407" t="str">
        <f>IF(CHW_Time!B40&lt;&gt;"",CHW_Time!B40,"")</f>
        <v/>
      </c>
      <c r="C49" s="425"/>
      <c r="D49" s="442"/>
      <c r="E49" s="426"/>
      <c r="F49" s="441"/>
      <c r="G49" s="442"/>
      <c r="H49" s="426"/>
      <c r="I49" s="441"/>
      <c r="J49" s="442"/>
      <c r="K49" s="426"/>
      <c r="L49" s="558"/>
      <c r="P49" s="387" t="str">
        <f>'policy interact graph numbers'!BG29</f>
        <v>Administration</v>
      </c>
      <c r="S49" s="525" t="e">
        <f ca="1">'policy interact graph numbers'!BH29*VLOOKUP(R$23,'policy interact graph numbers'!AZ$27:BE$32,5,FALSE)</f>
        <v>#N/A</v>
      </c>
    </row>
    <row r="50" spans="2:23" x14ac:dyDescent="0.5">
      <c r="B50" s="407" t="str">
        <f>IF(CHW_Time!B41&lt;&gt;"",CHW_Time!B41,"")</f>
        <v/>
      </c>
      <c r="C50" s="425"/>
      <c r="D50" s="442"/>
      <c r="E50" s="426"/>
      <c r="F50" s="441"/>
      <c r="G50" s="442"/>
      <c r="H50" s="426"/>
      <c r="I50" s="441"/>
      <c r="J50" s="442"/>
      <c r="K50" s="426"/>
      <c r="L50" s="558"/>
      <c r="P50" s="387" t="str">
        <f>'policy interact graph numbers'!BG30</f>
        <v>Campaigns</v>
      </c>
      <c r="S50" s="525" t="e">
        <f ca="1">'policy interact graph numbers'!BH30*VLOOKUP(R$23,'policy interact graph numbers'!AZ$27:BE$32,5,FALSE)</f>
        <v>#N/A</v>
      </c>
    </row>
    <row r="51" spans="2:23" x14ac:dyDescent="0.5">
      <c r="B51" s="407" t="str">
        <f>IF(CHW_Time!B42&lt;&gt;"",CHW_Time!B42,"")</f>
        <v/>
      </c>
      <c r="C51" s="425"/>
      <c r="D51" s="442"/>
      <c r="E51" s="426"/>
      <c r="F51" s="441"/>
      <c r="G51" s="442"/>
      <c r="H51" s="426"/>
      <c r="I51" s="441"/>
      <c r="J51" s="442"/>
      <c r="K51" s="426"/>
      <c r="L51" s="558"/>
      <c r="P51" s="387" t="str">
        <f>'policy interact graph numbers'!BG31</f>
        <v>Training</v>
      </c>
      <c r="S51" s="525" t="e">
        <f ca="1">'policy interact graph numbers'!BH31*VLOOKUP(R$23,'policy interact graph numbers'!AZ$27:BE$32,5,FALSE)</f>
        <v>#N/A</v>
      </c>
    </row>
    <row r="52" spans="2:23" x14ac:dyDescent="0.5">
      <c r="B52" s="407" t="str">
        <f>IF(CHW_Time!B43&lt;&gt;"",CHW_Time!B43,"")</f>
        <v/>
      </c>
      <c r="C52" s="425"/>
      <c r="D52" s="442"/>
      <c r="E52" s="426"/>
      <c r="F52" s="441"/>
      <c r="G52" s="442"/>
      <c r="H52" s="426"/>
      <c r="I52" s="441"/>
      <c r="J52" s="442"/>
      <c r="K52" s="426"/>
      <c r="L52" s="558"/>
      <c r="P52" s="387" t="str">
        <f>'policy interact graph numbers'!BG32</f>
        <v>Other meetings</v>
      </c>
      <c r="S52" s="525" t="e">
        <f ca="1">'policy interact graph numbers'!BH32*VLOOKUP(R$23,'policy interact graph numbers'!AZ$27:BE$32,5,FALSE)</f>
        <v>#N/A</v>
      </c>
    </row>
    <row r="53" spans="2:23" x14ac:dyDescent="0.5">
      <c r="B53" s="407" t="str">
        <f>IF(CHW_Time!B44&lt;&gt;"",CHW_Time!B44,"")</f>
        <v/>
      </c>
      <c r="C53" s="425"/>
      <c r="D53" s="442"/>
      <c r="E53" s="426"/>
      <c r="F53" s="441"/>
      <c r="G53" s="442"/>
      <c r="H53" s="426"/>
      <c r="I53" s="441"/>
      <c r="J53" s="442"/>
      <c r="K53" s="426"/>
      <c r="L53" s="441"/>
      <c r="P53" s="538" t="s">
        <v>99</v>
      </c>
      <c r="S53" s="525"/>
      <c r="V53" s="567" t="e">
        <f>VLOOKUP(R$23,'policy interact graph numbers'!AZ$27:BE$32,6,FALSE)</f>
        <v>#N/A</v>
      </c>
      <c r="W53" s="538" t="s">
        <v>1528</v>
      </c>
    </row>
    <row r="54" spans="2:23" x14ac:dyDescent="0.5">
      <c r="B54" s="407" t="str">
        <f>IF(CHW_Time!B45&lt;&gt;"",CHW_Time!B45,"")</f>
        <v/>
      </c>
      <c r="C54" s="425"/>
      <c r="D54" s="442"/>
      <c r="E54" s="426"/>
      <c r="F54" s="441"/>
      <c r="G54" s="442"/>
      <c r="H54" s="426"/>
      <c r="I54" s="441"/>
      <c r="J54" s="442"/>
      <c r="K54" s="426"/>
      <c r="L54" s="441"/>
      <c r="V54" s="538" t="e">
        <f>V53/(52*60)</f>
        <v>#N/A</v>
      </c>
      <c r="W54" s="538" t="s">
        <v>1575</v>
      </c>
    </row>
    <row r="55" spans="2:23" x14ac:dyDescent="0.5">
      <c r="B55" s="407" t="str">
        <f>IF(CHW_Time!B46&lt;&gt;"",CHW_Time!B46,"")</f>
        <v/>
      </c>
      <c r="C55" s="425"/>
      <c r="D55" s="442"/>
      <c r="E55" s="426"/>
      <c r="F55" s="441"/>
      <c r="G55" s="442"/>
      <c r="H55" s="426"/>
      <c r="I55" s="441"/>
      <c r="J55" s="442"/>
      <c r="K55" s="426"/>
      <c r="L55" s="441"/>
      <c r="P55" s="538" t="s">
        <v>1565</v>
      </c>
    </row>
    <row r="56" spans="2:23" x14ac:dyDescent="0.5">
      <c r="B56" s="407" t="str">
        <f>IF(CHW_Time!B47&lt;&gt;"",CHW_Time!B47,"")</f>
        <v/>
      </c>
      <c r="C56" s="425"/>
      <c r="D56" s="442"/>
      <c r="E56" s="426"/>
      <c r="F56" s="441"/>
      <c r="G56" s="442"/>
      <c r="H56" s="426"/>
      <c r="I56" s="441"/>
      <c r="J56" s="442"/>
      <c r="K56" s="426"/>
      <c r="L56" s="441"/>
      <c r="P56" s="387" t="s">
        <v>1564</v>
      </c>
      <c r="R56" s="552" t="e">
        <f ca="1">(SUM($S$47:$S$52)-$V$53)/(52*60)</f>
        <v>#N/A</v>
      </c>
      <c r="S56" s="553" t="e">
        <f ca="1">R56/$V$54</f>
        <v>#N/A</v>
      </c>
    </row>
    <row r="57" spans="2:23" x14ac:dyDescent="0.5">
      <c r="B57" s="407" t="str">
        <f>IF(CHW_Time!B48&lt;&gt;"",CHW_Time!B48,"")</f>
        <v/>
      </c>
      <c r="C57" s="425"/>
      <c r="D57" s="442"/>
      <c r="E57" s="426"/>
      <c r="F57" s="441"/>
      <c r="G57" s="442"/>
      <c r="H57" s="426"/>
      <c r="I57" s="441"/>
      <c r="J57" s="442"/>
      <c r="K57" s="426"/>
      <c r="L57" s="441"/>
      <c r="P57" s="545" t="s">
        <v>125</v>
      </c>
      <c r="R57" s="552" t="e">
        <f ca="1">$S47/(52*60)-R56</f>
        <v>#N/A</v>
      </c>
      <c r="S57" s="553" t="e">
        <f t="shared" ref="S57:S63" ca="1" si="0">R57/$V$54</f>
        <v>#N/A</v>
      </c>
    </row>
    <row r="58" spans="2:23" x14ac:dyDescent="0.5">
      <c r="B58" s="407" t="str">
        <f>IF(CHW_Time!B49&lt;&gt;"",CHW_Time!B49,"")</f>
        <v/>
      </c>
      <c r="C58" s="425"/>
      <c r="D58" s="442"/>
      <c r="E58" s="426"/>
      <c r="F58" s="441"/>
      <c r="G58" s="442"/>
      <c r="H58" s="426"/>
      <c r="I58" s="441"/>
      <c r="J58" s="559"/>
      <c r="K58" s="426"/>
      <c r="L58" s="441"/>
      <c r="P58" s="545" t="s">
        <v>126</v>
      </c>
      <c r="R58" s="552" t="e">
        <f t="shared" ref="R58:R62" ca="1" si="1">$S48/(52*60)</f>
        <v>#N/A</v>
      </c>
      <c r="S58" s="553" t="e">
        <f t="shared" ca="1" si="0"/>
        <v>#N/A</v>
      </c>
    </row>
    <row r="59" spans="2:23" x14ac:dyDescent="0.5">
      <c r="B59" s="407" t="str">
        <f>IF(CHW_Time!B50&lt;&gt;"",CHW_Time!B50,"")</f>
        <v/>
      </c>
      <c r="C59" s="425"/>
      <c r="D59" s="442"/>
      <c r="E59" s="426"/>
      <c r="F59" s="441"/>
      <c r="G59" s="442"/>
      <c r="H59" s="426"/>
      <c r="I59" s="441"/>
      <c r="J59" s="442"/>
      <c r="K59" s="426"/>
      <c r="L59" s="441"/>
      <c r="P59" s="545" t="s">
        <v>127</v>
      </c>
      <c r="R59" s="552" t="e">
        <f t="shared" ca="1" si="1"/>
        <v>#N/A</v>
      </c>
      <c r="S59" s="553" t="e">
        <f t="shared" ca="1" si="0"/>
        <v>#N/A</v>
      </c>
    </row>
    <row r="60" spans="2:23" x14ac:dyDescent="0.5">
      <c r="B60" s="407" t="str">
        <f>IF(CHW_Time!B51&lt;&gt;"",CHW_Time!B51,"")</f>
        <v/>
      </c>
      <c r="C60" s="425"/>
      <c r="D60" s="442"/>
      <c r="E60" s="426"/>
      <c r="F60" s="441"/>
      <c r="G60" s="442"/>
      <c r="H60" s="426"/>
      <c r="I60" s="441"/>
      <c r="J60" s="559"/>
      <c r="K60" s="426"/>
      <c r="L60" s="441"/>
      <c r="P60" s="545" t="s">
        <v>102</v>
      </c>
      <c r="R60" s="552" t="e">
        <f t="shared" ca="1" si="1"/>
        <v>#N/A</v>
      </c>
      <c r="S60" s="553" t="e">
        <f t="shared" ca="1" si="0"/>
        <v>#N/A</v>
      </c>
    </row>
    <row r="61" spans="2:23" x14ac:dyDescent="0.5">
      <c r="B61" s="407" t="str">
        <f>IF(CHW_Time!B52&lt;&gt;"",CHW_Time!B52,"")</f>
        <v/>
      </c>
      <c r="C61" s="425"/>
      <c r="D61" s="442"/>
      <c r="E61" s="426"/>
      <c r="F61" s="441"/>
      <c r="G61" s="442"/>
      <c r="H61" s="426"/>
      <c r="I61" s="441"/>
      <c r="J61" s="442"/>
      <c r="K61" s="426"/>
      <c r="L61" s="441"/>
      <c r="P61" s="545" t="s">
        <v>103</v>
      </c>
      <c r="R61" s="552" t="e">
        <f t="shared" ca="1" si="1"/>
        <v>#N/A</v>
      </c>
      <c r="S61" s="553" t="e">
        <f t="shared" ca="1" si="0"/>
        <v>#N/A</v>
      </c>
    </row>
    <row r="62" spans="2:23" x14ac:dyDescent="0.5">
      <c r="B62" s="407" t="str">
        <f>IF(CHW_Time!B53&lt;&gt;"",CHW_Time!B53,"")</f>
        <v/>
      </c>
      <c r="C62" s="425"/>
      <c r="D62" s="442"/>
      <c r="E62" s="426"/>
      <c r="F62" s="441"/>
      <c r="G62" s="442"/>
      <c r="H62" s="426"/>
      <c r="I62" s="441"/>
      <c r="J62" s="442"/>
      <c r="K62" s="426"/>
      <c r="L62" s="441"/>
      <c r="P62" s="545" t="s">
        <v>128</v>
      </c>
      <c r="R62" s="552" t="e">
        <f t="shared" ca="1" si="1"/>
        <v>#N/A</v>
      </c>
      <c r="S62" s="553" t="e">
        <f t="shared" ca="1" si="0"/>
        <v>#N/A</v>
      </c>
    </row>
    <row r="63" spans="2:23" x14ac:dyDescent="0.5">
      <c r="B63" s="407" t="str">
        <f>IF(CHW_Time!B54&lt;&gt;"",CHW_Time!B54,"")</f>
        <v/>
      </c>
      <c r="C63" s="425"/>
      <c r="D63" s="442"/>
      <c r="E63" s="426"/>
      <c r="F63" s="441"/>
      <c r="G63" s="442"/>
      <c r="H63" s="426"/>
      <c r="I63" s="441"/>
      <c r="J63" s="442"/>
      <c r="K63" s="426"/>
      <c r="L63" s="441"/>
      <c r="P63" s="538" t="s">
        <v>120</v>
      </c>
      <c r="R63" s="565" t="e">
        <f ca="1">SUM(R56:R62)</f>
        <v>#N/A</v>
      </c>
      <c r="S63" s="566" t="e">
        <f t="shared" ca="1" si="0"/>
        <v>#N/A</v>
      </c>
    </row>
    <row r="64" spans="2:23" x14ac:dyDescent="0.5">
      <c r="B64" s="407" t="str">
        <f>IF(CHW_Time!B55&lt;&gt;"",CHW_Time!B55,"")</f>
        <v/>
      </c>
      <c r="C64" s="425"/>
      <c r="D64" s="442"/>
      <c r="E64" s="426"/>
      <c r="F64" s="441"/>
      <c r="G64" s="442"/>
      <c r="H64" s="426"/>
      <c r="I64" s="441"/>
      <c r="J64" s="442"/>
      <c r="K64" s="426"/>
      <c r="L64" s="441"/>
    </row>
    <row r="65" spans="2:18" x14ac:dyDescent="0.5">
      <c r="B65" s="407" t="str">
        <f>IF(CHW_Time!B56&lt;&gt;"",CHW_Time!B56,"")</f>
        <v/>
      </c>
      <c r="C65" s="425"/>
      <c r="D65" s="442"/>
      <c r="E65" s="426"/>
      <c r="F65" s="441"/>
      <c r="G65" s="442"/>
      <c r="H65" s="426"/>
      <c r="I65" s="441"/>
      <c r="J65" s="442"/>
      <c r="K65" s="426"/>
      <c r="L65" s="441"/>
    </row>
    <row r="66" spans="2:18" x14ac:dyDescent="0.5">
      <c r="B66" s="407" t="str">
        <f>IF(CHW_Time!B57&lt;&gt;"",CHW_Time!B57,"")</f>
        <v/>
      </c>
      <c r="C66" s="425"/>
      <c r="D66" s="442"/>
      <c r="E66" s="426"/>
      <c r="F66" s="441"/>
      <c r="G66" s="442"/>
      <c r="H66" s="426"/>
      <c r="I66" s="441"/>
      <c r="J66" s="442"/>
      <c r="K66" s="426"/>
      <c r="L66" s="441"/>
    </row>
    <row r="67" spans="2:18" x14ac:dyDescent="0.5">
      <c r="B67" s="407" t="str">
        <f>IF(CHW_Time!B58&lt;&gt;"",CHW_Time!B58,"")</f>
        <v/>
      </c>
      <c r="C67" s="425"/>
      <c r="D67" s="442"/>
      <c r="E67" s="426"/>
      <c r="F67" s="441"/>
      <c r="G67" s="554"/>
      <c r="H67" s="426"/>
      <c r="I67" s="557"/>
      <c r="J67" s="554"/>
      <c r="K67" s="426"/>
      <c r="L67" s="557"/>
    </row>
    <row r="68" spans="2:18" x14ac:dyDescent="0.5">
      <c r="B68" s="407" t="str">
        <f>IF(CHW_Time!B59&lt;&gt;"",CHW_Time!B59,"")</f>
        <v/>
      </c>
      <c r="C68" s="425"/>
      <c r="D68" s="442"/>
      <c r="E68" s="426"/>
      <c r="F68" s="441"/>
      <c r="G68" s="442"/>
      <c r="H68" s="426"/>
      <c r="I68" s="441"/>
      <c r="J68" s="442"/>
      <c r="K68" s="426"/>
      <c r="L68" s="441"/>
    </row>
    <row r="69" spans="2:18" x14ac:dyDescent="0.5">
      <c r="B69" s="577" t="str">
        <f>IF(CHW_Time!B60&lt;&gt;"",CHW_Time!B60,"")</f>
        <v/>
      </c>
      <c r="C69" s="425"/>
      <c r="D69" s="442"/>
      <c r="E69" s="426"/>
      <c r="F69" s="441"/>
      <c r="G69" s="442"/>
      <c r="H69" s="426"/>
      <c r="I69" s="441"/>
      <c r="J69" s="442"/>
      <c r="K69" s="426"/>
      <c r="L69" s="441"/>
      <c r="P69" s="576"/>
    </row>
    <row r="70" spans="2:18" x14ac:dyDescent="0.5">
      <c r="B70" s="577" t="str">
        <f>IF(CHW_Time!B61&lt;&gt;"",CHW_Time!B61,"")</f>
        <v/>
      </c>
      <c r="C70" s="425"/>
      <c r="D70" s="442"/>
      <c r="E70" s="426"/>
      <c r="F70" s="441"/>
      <c r="G70" s="442"/>
      <c r="H70" s="426"/>
      <c r="I70" s="441"/>
      <c r="J70" s="442"/>
      <c r="K70" s="426"/>
      <c r="L70" s="441"/>
    </row>
    <row r="71" spans="2:18" x14ac:dyDescent="0.5">
      <c r="B71" s="407" t="str">
        <f>IF(CHW_Time!B62&lt;&gt;"",CHW_Time!B62,"")</f>
        <v/>
      </c>
      <c r="C71" s="425"/>
      <c r="D71" s="442"/>
      <c r="E71" s="426"/>
      <c r="F71" s="441"/>
      <c r="G71" s="554"/>
      <c r="H71" s="556"/>
      <c r="I71" s="557"/>
      <c r="J71" s="554"/>
      <c r="K71" s="556"/>
      <c r="L71" s="557"/>
    </row>
    <row r="72" spans="2:18" x14ac:dyDescent="0.5">
      <c r="B72" s="407" t="str">
        <f>IF(CHW_Time!B63&lt;&gt;"",CHW_Time!B63,"")</f>
        <v/>
      </c>
      <c r="C72" s="425"/>
      <c r="D72" s="442"/>
      <c r="E72" s="426"/>
      <c r="F72" s="441"/>
      <c r="G72" s="554"/>
      <c r="H72" s="556"/>
      <c r="I72" s="557"/>
      <c r="J72" s="554"/>
      <c r="K72" s="556"/>
      <c r="L72" s="557"/>
    </row>
    <row r="73" spans="2:18" x14ac:dyDescent="0.5">
      <c r="B73" s="407" t="str">
        <f>IF(CHW_Time!B64&lt;&gt;"",CHW_Time!B64,"")</f>
        <v/>
      </c>
      <c r="C73" s="425"/>
      <c r="D73" s="442"/>
      <c r="E73" s="426"/>
      <c r="F73" s="441"/>
      <c r="G73" s="442"/>
      <c r="H73" s="426"/>
      <c r="I73" s="441"/>
      <c r="J73" s="442"/>
      <c r="K73" s="426"/>
      <c r="L73" s="441"/>
    </row>
    <row r="74" spans="2:18" x14ac:dyDescent="0.5">
      <c r="B74" s="407" t="str">
        <f>IF(CHW_Time!B65&lt;&gt;"",CHW_Time!B65,"")</f>
        <v/>
      </c>
      <c r="C74" s="425"/>
      <c r="D74" s="442"/>
      <c r="E74" s="426"/>
      <c r="F74" s="441"/>
      <c r="G74" s="442"/>
      <c r="H74" s="426"/>
      <c r="I74" s="441"/>
      <c r="J74" s="442"/>
      <c r="K74" s="426"/>
      <c r="L74" s="441"/>
    </row>
    <row r="75" spans="2:18" x14ac:dyDescent="0.5">
      <c r="B75" s="407" t="str">
        <f>IF(CHW_Time!B66&lt;&gt;"",CHW_Time!B66,"")</f>
        <v/>
      </c>
      <c r="C75" s="425"/>
      <c r="D75" s="442"/>
      <c r="E75" s="426"/>
      <c r="F75" s="441"/>
      <c r="G75" s="442"/>
      <c r="H75" s="426"/>
      <c r="I75" s="441"/>
      <c r="J75" s="442"/>
      <c r="K75" s="426"/>
      <c r="L75" s="441"/>
      <c r="P75" s="412"/>
    </row>
    <row r="76" spans="2:18" x14ac:dyDescent="0.5">
      <c r="B76" s="407" t="str">
        <f>IF(CHW_Time!B67&lt;&gt;"",CHW_Time!B67,"")</f>
        <v/>
      </c>
      <c r="C76" s="425"/>
      <c r="D76" s="442"/>
      <c r="E76" s="426"/>
      <c r="F76" s="441"/>
      <c r="G76" s="554"/>
      <c r="H76" s="556"/>
      <c r="I76" s="557"/>
      <c r="J76" s="559"/>
      <c r="K76" s="426"/>
      <c r="L76" s="441"/>
    </row>
    <row r="77" spans="2:18" x14ac:dyDescent="0.5">
      <c r="B77" s="407" t="str">
        <f>IF(CHW_Time!B68&lt;&gt;"",CHW_Time!B68,"")</f>
        <v/>
      </c>
      <c r="C77" s="425"/>
      <c r="D77" s="442"/>
      <c r="E77" s="426"/>
      <c r="F77" s="441"/>
      <c r="G77" s="554"/>
      <c r="H77" s="556"/>
      <c r="I77" s="557"/>
      <c r="J77" s="559"/>
      <c r="K77" s="556"/>
      <c r="L77" s="557"/>
    </row>
    <row r="78" spans="2:18" x14ac:dyDescent="0.5">
      <c r="B78" s="407" t="str">
        <f>IF(CHW_Time!B69&lt;&gt;"",CHW_Time!B69,"")</f>
        <v/>
      </c>
      <c r="C78" s="425"/>
      <c r="D78" s="442"/>
      <c r="E78" s="426"/>
      <c r="F78" s="441"/>
      <c r="G78" s="442"/>
      <c r="H78" s="426"/>
      <c r="I78" s="441"/>
      <c r="J78" s="442"/>
      <c r="K78" s="426"/>
      <c r="L78" s="441"/>
    </row>
    <row r="79" spans="2:18" x14ac:dyDescent="0.5">
      <c r="B79" s="407" t="str">
        <f>IF(CHW_Time!B70&lt;&gt;"",CHW_Time!B70,"")</f>
        <v/>
      </c>
      <c r="C79" s="425"/>
      <c r="D79" s="442"/>
      <c r="E79" s="426"/>
      <c r="F79" s="441"/>
      <c r="G79" s="442"/>
      <c r="H79" s="426"/>
      <c r="I79" s="441"/>
      <c r="J79" s="442"/>
      <c r="K79" s="426"/>
      <c r="L79" s="558"/>
    </row>
    <row r="80" spans="2:18" x14ac:dyDescent="0.5">
      <c r="B80" s="407" t="str">
        <f>IF(CHW_Time!B71&lt;&gt;"",CHW_Time!B71,"")</f>
        <v/>
      </c>
      <c r="C80" s="425"/>
      <c r="D80" s="442"/>
      <c r="E80" s="426"/>
      <c r="F80" s="441"/>
      <c r="G80" s="442"/>
      <c r="H80" s="426"/>
      <c r="I80" s="441"/>
      <c r="J80" s="442"/>
      <c r="K80" s="426"/>
      <c r="L80" s="441"/>
    </row>
    <row r="81" spans="2:12" x14ac:dyDescent="0.5">
      <c r="B81" s="407" t="str">
        <f>IF(CHW_Time!B72&lt;&gt;"",CHW_Time!B72,"")</f>
        <v/>
      </c>
      <c r="C81" s="425"/>
      <c r="D81" s="442"/>
      <c r="E81" s="426"/>
      <c r="F81" s="441"/>
      <c r="G81" s="554"/>
      <c r="H81" s="556"/>
      <c r="I81" s="557"/>
      <c r="J81" s="554"/>
      <c r="K81" s="556"/>
      <c r="L81" s="557"/>
    </row>
    <row r="82" spans="2:12" x14ac:dyDescent="0.5">
      <c r="B82" s="407" t="str">
        <f>IF(CHW_Time!B73&lt;&gt;"",CHW_Time!B73,"")</f>
        <v/>
      </c>
      <c r="C82" s="425"/>
      <c r="D82" s="442"/>
      <c r="E82" s="426"/>
      <c r="F82" s="441"/>
      <c r="G82" s="554"/>
      <c r="H82" s="556"/>
      <c r="I82" s="557"/>
      <c r="J82" s="554"/>
      <c r="K82" s="556"/>
      <c r="L82" s="557"/>
    </row>
    <row r="83" spans="2:12" x14ac:dyDescent="0.5">
      <c r="B83" s="407" t="str">
        <f>IF(CHW_Time!B74&lt;&gt;"",CHW_Time!B74,"")</f>
        <v/>
      </c>
      <c r="C83" s="425"/>
      <c r="D83" s="442"/>
      <c r="E83" s="426"/>
      <c r="F83" s="441"/>
      <c r="G83" s="442"/>
      <c r="H83" s="426"/>
      <c r="I83" s="441"/>
      <c r="J83" s="442"/>
      <c r="K83" s="426"/>
      <c r="L83" s="441"/>
    </row>
    <row r="84" spans="2:12" x14ac:dyDescent="0.5">
      <c r="B84" s="407" t="str">
        <f>IF(CHW_Time!B75&lt;&gt;"",CHW_Time!B75,"")</f>
        <v/>
      </c>
      <c r="C84" s="425"/>
      <c r="D84" s="442"/>
      <c r="E84" s="426"/>
      <c r="F84" s="441"/>
      <c r="G84" s="442"/>
      <c r="H84" s="426"/>
      <c r="I84" s="441"/>
      <c r="J84" s="442"/>
      <c r="K84" s="426"/>
      <c r="L84" s="558"/>
    </row>
    <row r="85" spans="2:12" x14ac:dyDescent="0.5">
      <c r="B85" s="407" t="str">
        <f>IF(CHW_Time!B76&lt;&gt;"",CHW_Time!B76,"")</f>
        <v/>
      </c>
      <c r="C85" s="425"/>
      <c r="D85" s="442"/>
      <c r="E85" s="426"/>
      <c r="F85" s="441"/>
      <c r="G85" s="442"/>
      <c r="H85" s="426"/>
      <c r="I85" s="441"/>
      <c r="J85" s="442"/>
      <c r="K85" s="426"/>
      <c r="L85" s="558"/>
    </row>
    <row r="86" spans="2:12" x14ac:dyDescent="0.5">
      <c r="B86" s="407" t="str">
        <f>IF(CHW_Time!B77&lt;&gt;"",CHW_Time!B77,"")</f>
        <v/>
      </c>
      <c r="C86" s="425"/>
      <c r="D86" s="442"/>
      <c r="E86" s="426"/>
      <c r="F86" s="441"/>
      <c r="G86" s="442"/>
      <c r="H86" s="426"/>
      <c r="I86" s="441"/>
      <c r="J86" s="442"/>
      <c r="K86" s="426"/>
      <c r="L86" s="558"/>
    </row>
    <row r="87" spans="2:12" x14ac:dyDescent="0.5">
      <c r="B87" s="407" t="str">
        <f>IF(CHW_Time!B78&lt;&gt;"",CHW_Time!B78,"")</f>
        <v/>
      </c>
      <c r="C87" s="425"/>
      <c r="D87" s="442"/>
      <c r="E87" s="426"/>
      <c r="F87" s="441"/>
      <c r="G87" s="442"/>
      <c r="H87" s="426"/>
      <c r="I87" s="441"/>
      <c r="J87" s="442"/>
      <c r="K87" s="426"/>
      <c r="L87" s="558"/>
    </row>
    <row r="88" spans="2:12" x14ac:dyDescent="0.5">
      <c r="B88" s="407" t="str">
        <f>IF(CHW_Time!B79&lt;&gt;"",CHW_Time!B79,"")</f>
        <v/>
      </c>
      <c r="C88" s="425"/>
      <c r="D88" s="442"/>
      <c r="E88" s="426"/>
      <c r="F88" s="441"/>
      <c r="G88" s="442"/>
      <c r="H88" s="426"/>
      <c r="I88" s="441"/>
      <c r="J88" s="442"/>
      <c r="K88" s="426"/>
      <c r="L88" s="558"/>
    </row>
    <row r="89" spans="2:12" x14ac:dyDescent="0.5">
      <c r="B89" s="407" t="str">
        <f>IF(CHW_Time!B80&lt;&gt;"",CHW_Time!B80,"")</f>
        <v/>
      </c>
      <c r="C89" s="425"/>
      <c r="D89" s="442"/>
      <c r="E89" s="426"/>
      <c r="F89" s="441"/>
      <c r="G89" s="442"/>
      <c r="H89" s="426"/>
      <c r="I89" s="441"/>
      <c r="J89" s="442"/>
      <c r="K89" s="426"/>
      <c r="L89" s="441"/>
    </row>
    <row r="90" spans="2:12" x14ac:dyDescent="0.5">
      <c r="B90" s="407" t="str">
        <f>IF(CHW_Time!B81&lt;&gt;"",CHW_Time!B81,"")</f>
        <v/>
      </c>
      <c r="C90" s="425"/>
      <c r="D90" s="442"/>
      <c r="E90" s="426"/>
      <c r="F90" s="441"/>
      <c r="G90" s="442"/>
      <c r="H90" s="426"/>
      <c r="I90" s="441"/>
      <c r="J90" s="442"/>
      <c r="K90" s="426"/>
      <c r="L90" s="441"/>
    </row>
    <row r="91" spans="2:12" x14ac:dyDescent="0.5">
      <c r="B91" s="407" t="str">
        <f>IF(CHW_Time!B82&lt;&gt;"",CHW_Time!B82,"")</f>
        <v/>
      </c>
      <c r="C91" s="425"/>
      <c r="D91" s="442"/>
      <c r="E91" s="426"/>
      <c r="F91" s="441"/>
      <c r="G91" s="442"/>
      <c r="H91" s="426"/>
      <c r="I91" s="441"/>
      <c r="J91" s="442"/>
      <c r="K91" s="426"/>
      <c r="L91" s="441"/>
    </row>
    <row r="92" spans="2:12" x14ac:dyDescent="0.5">
      <c r="B92" s="407" t="str">
        <f>IF(CHW_Time!B83&lt;&gt;"",CHW_Time!B83,"")</f>
        <v/>
      </c>
      <c r="C92" s="425"/>
      <c r="D92" s="442"/>
      <c r="E92" s="426"/>
      <c r="F92" s="441"/>
      <c r="G92" s="442"/>
      <c r="H92" s="426"/>
      <c r="I92" s="441"/>
      <c r="J92" s="442"/>
      <c r="K92" s="426"/>
      <c r="L92" s="441"/>
    </row>
    <row r="93" spans="2:12" x14ac:dyDescent="0.5">
      <c r="B93" s="407" t="str">
        <f>IF(CHW_Time!B84&lt;&gt;"",CHW_Time!B84,"")</f>
        <v/>
      </c>
      <c r="C93" s="425"/>
      <c r="D93" s="442"/>
      <c r="E93" s="426"/>
      <c r="F93" s="441"/>
      <c r="G93" s="442"/>
      <c r="H93" s="426"/>
      <c r="I93" s="441"/>
      <c r="J93" s="442"/>
      <c r="K93" s="426"/>
      <c r="L93" s="441"/>
    </row>
    <row r="94" spans="2:12" x14ac:dyDescent="0.5">
      <c r="B94" s="407" t="str">
        <f>IF(CHW_Time!B85&lt;&gt;"",CHW_Time!B85,"")</f>
        <v/>
      </c>
      <c r="C94" s="425"/>
      <c r="D94" s="442"/>
      <c r="E94" s="426"/>
      <c r="F94" s="441"/>
      <c r="G94" s="442"/>
      <c r="H94" s="426"/>
      <c r="I94" s="441"/>
      <c r="J94" s="442"/>
      <c r="K94" s="426"/>
      <c r="L94" s="441"/>
    </row>
    <row r="95" spans="2:12" x14ac:dyDescent="0.5">
      <c r="B95" s="407" t="str">
        <f>IF(CHW_Time!B86&lt;&gt;"",CHW_Time!B86,"")</f>
        <v/>
      </c>
      <c r="C95" s="425"/>
      <c r="D95" s="442"/>
      <c r="E95" s="426"/>
      <c r="F95" s="441"/>
      <c r="G95" s="442"/>
      <c r="H95" s="426"/>
      <c r="I95" s="441"/>
      <c r="J95" s="442"/>
      <c r="K95" s="426"/>
      <c r="L95" s="441"/>
    </row>
    <row r="96" spans="2:12" x14ac:dyDescent="0.5">
      <c r="B96" s="407" t="str">
        <f>IF(CHW_Time!B87&lt;&gt;"",CHW_Time!B87,"")</f>
        <v/>
      </c>
      <c r="C96" s="425"/>
      <c r="D96" s="442"/>
      <c r="E96" s="426"/>
      <c r="F96" s="441"/>
      <c r="G96" s="442"/>
      <c r="H96" s="426"/>
      <c r="I96" s="441"/>
      <c r="J96" s="442"/>
      <c r="K96" s="426"/>
      <c r="L96" s="441"/>
    </row>
    <row r="97" spans="2:12" x14ac:dyDescent="0.5">
      <c r="B97" s="407" t="str">
        <f>IF(CHW_Time!B88&lt;&gt;"",CHW_Time!B88,"")</f>
        <v/>
      </c>
      <c r="C97" s="425"/>
      <c r="D97" s="442"/>
      <c r="E97" s="426"/>
      <c r="F97" s="441"/>
      <c r="G97" s="442"/>
      <c r="H97" s="426"/>
      <c r="I97" s="441"/>
      <c r="J97" s="442"/>
      <c r="K97" s="426"/>
      <c r="L97" s="441"/>
    </row>
    <row r="98" spans="2:12" x14ac:dyDescent="0.5">
      <c r="B98" s="407" t="str">
        <f>IF(CHW_Time!B89&lt;&gt;"",CHW_Time!B89,"")</f>
        <v/>
      </c>
      <c r="C98" s="425"/>
      <c r="D98" s="442"/>
      <c r="E98" s="426"/>
      <c r="F98" s="441"/>
      <c r="G98" s="442"/>
      <c r="H98" s="426"/>
      <c r="I98" s="441"/>
      <c r="J98" s="442"/>
      <c r="K98" s="426"/>
      <c r="L98" s="441"/>
    </row>
    <row r="99" spans="2:12" x14ac:dyDescent="0.5">
      <c r="B99" s="407" t="str">
        <f>IF(CHW_Time!B90&lt;&gt;"",CHW_Time!B90,"")</f>
        <v/>
      </c>
      <c r="C99" s="425"/>
      <c r="D99" s="442"/>
      <c r="E99" s="426"/>
      <c r="F99" s="441"/>
      <c r="G99" s="442"/>
      <c r="H99" s="426"/>
      <c r="I99" s="441"/>
      <c r="J99" s="442"/>
      <c r="K99" s="426"/>
      <c r="L99" s="441"/>
    </row>
    <row r="100" spans="2:12" x14ac:dyDescent="0.5">
      <c r="B100" s="407" t="str">
        <f>IF(CHW_Time!B91&lt;&gt;"",CHW_Time!B91,"")</f>
        <v/>
      </c>
      <c r="C100" s="425"/>
      <c r="D100" s="442"/>
      <c r="E100" s="426"/>
      <c r="F100" s="441"/>
      <c r="G100" s="442"/>
      <c r="H100" s="426"/>
      <c r="I100" s="441"/>
      <c r="J100" s="442"/>
      <c r="K100" s="426"/>
      <c r="L100" s="441"/>
    </row>
    <row r="101" spans="2:12" x14ac:dyDescent="0.5">
      <c r="B101" s="407" t="str">
        <f>IF(CHW_Time!B92&lt;&gt;"",CHW_Time!B92,"")</f>
        <v/>
      </c>
      <c r="C101" s="425"/>
      <c r="D101" s="442"/>
      <c r="E101" s="426"/>
      <c r="F101" s="441"/>
      <c r="G101" s="442"/>
      <c r="H101" s="426"/>
      <c r="I101" s="441"/>
      <c r="J101" s="442"/>
      <c r="K101" s="426"/>
      <c r="L101" s="441"/>
    </row>
    <row r="102" spans="2:12" x14ac:dyDescent="0.5">
      <c r="B102" s="407" t="str">
        <f>IF(CHW_Time!B93&lt;&gt;"",CHW_Time!B93,"")</f>
        <v/>
      </c>
      <c r="C102" s="425"/>
      <c r="D102" s="442"/>
      <c r="E102" s="426"/>
      <c r="F102" s="441"/>
      <c r="G102" s="442"/>
      <c r="H102" s="426"/>
      <c r="I102" s="441"/>
      <c r="J102" s="442"/>
      <c r="K102" s="426"/>
      <c r="L102" s="441"/>
    </row>
    <row r="103" spans="2:12" x14ac:dyDescent="0.5">
      <c r="B103" s="407" t="str">
        <f>IF(CHW_Time!B94&lt;&gt;"",CHW_Time!B94,"")</f>
        <v/>
      </c>
      <c r="C103" s="425"/>
      <c r="D103" s="442"/>
      <c r="E103" s="426"/>
      <c r="F103" s="441"/>
      <c r="G103" s="442"/>
      <c r="H103" s="426"/>
      <c r="I103" s="441"/>
      <c r="J103" s="442"/>
      <c r="K103" s="426"/>
      <c r="L103" s="441"/>
    </row>
    <row r="104" spans="2:12" x14ac:dyDescent="0.5">
      <c r="B104" s="407" t="str">
        <f>IF(CHW_Time!B95&lt;&gt;"",CHW_Time!B95,"")</f>
        <v/>
      </c>
      <c r="C104" s="425"/>
      <c r="D104" s="442"/>
      <c r="E104" s="426"/>
      <c r="F104" s="441"/>
      <c r="G104" s="442"/>
      <c r="H104" s="426"/>
      <c r="I104" s="441"/>
      <c r="J104" s="442"/>
      <c r="K104" s="426"/>
      <c r="L104" s="441"/>
    </row>
    <row r="105" spans="2:12" x14ac:dyDescent="0.5">
      <c r="B105" s="407" t="str">
        <f>IF(CHW_Time!B96&lt;&gt;"",CHW_Time!B96,"")</f>
        <v/>
      </c>
      <c r="C105" s="425"/>
      <c r="D105" s="442"/>
      <c r="E105" s="426"/>
      <c r="F105" s="441"/>
      <c r="G105" s="442"/>
      <c r="H105" s="426"/>
      <c r="I105" s="441"/>
      <c r="J105" s="442"/>
      <c r="K105" s="426"/>
      <c r="L105" s="441"/>
    </row>
    <row r="106" spans="2:12" x14ac:dyDescent="0.5">
      <c r="B106" s="407" t="str">
        <f>IF(CHW_Time!B97&lt;&gt;"",CHW_Time!B97,"")</f>
        <v/>
      </c>
      <c r="C106" s="425"/>
      <c r="D106" s="442"/>
      <c r="E106" s="426"/>
      <c r="F106" s="441"/>
      <c r="G106" s="442"/>
      <c r="H106" s="426"/>
      <c r="I106" s="441"/>
      <c r="J106" s="442"/>
      <c r="K106" s="426"/>
      <c r="L106" s="441"/>
    </row>
    <row r="107" spans="2:12" x14ac:dyDescent="0.5">
      <c r="B107" s="407" t="str">
        <f>IF(CHW_Time!B98&lt;&gt;"",CHW_Time!B98,"")</f>
        <v/>
      </c>
      <c r="C107" s="425"/>
      <c r="D107" s="442"/>
      <c r="E107" s="426"/>
      <c r="F107" s="441"/>
      <c r="G107" s="442"/>
      <c r="H107" s="426"/>
      <c r="I107" s="441"/>
      <c r="J107" s="442"/>
      <c r="K107" s="426"/>
      <c r="L107" s="441"/>
    </row>
    <row r="108" spans="2:12" x14ac:dyDescent="0.5">
      <c r="B108" s="407" t="str">
        <f>IF(CHW_Time!B99&lt;&gt;"",CHW_Time!B99,"")</f>
        <v/>
      </c>
      <c r="C108" s="425"/>
      <c r="D108" s="442"/>
      <c r="E108" s="426"/>
      <c r="F108" s="441"/>
      <c r="G108" s="442"/>
      <c r="H108" s="426"/>
      <c r="I108" s="441"/>
      <c r="J108" s="442"/>
      <c r="K108" s="426"/>
      <c r="L108" s="441"/>
    </row>
    <row r="109" spans="2:12" x14ac:dyDescent="0.5">
      <c r="B109" s="407" t="str">
        <f>IF(CHW_Time!B100&lt;&gt;"",CHW_Time!B100,"")</f>
        <v/>
      </c>
      <c r="C109" s="425"/>
      <c r="D109" s="442"/>
      <c r="E109" s="426"/>
      <c r="F109" s="441"/>
      <c r="G109" s="442"/>
      <c r="H109" s="426"/>
      <c r="I109" s="441"/>
      <c r="J109" s="442"/>
      <c r="K109" s="426"/>
      <c r="L109" s="441"/>
    </row>
    <row r="110" spans="2:12" x14ac:dyDescent="0.5">
      <c r="B110" s="407" t="str">
        <f>IF(CHW_Time!B101&lt;&gt;"",CHW_Time!B101,"")</f>
        <v/>
      </c>
      <c r="C110" s="425"/>
      <c r="D110" s="442"/>
      <c r="E110" s="426"/>
      <c r="F110" s="441"/>
      <c r="G110" s="442"/>
      <c r="H110" s="426"/>
      <c r="I110" s="441"/>
      <c r="J110" s="442"/>
      <c r="K110" s="426"/>
      <c r="L110" s="441"/>
    </row>
    <row r="111" spans="2:12" x14ac:dyDescent="0.5">
      <c r="B111" s="407" t="str">
        <f>IF(CHW_Time!B102&lt;&gt;"",CHW_Time!B102,"")</f>
        <v/>
      </c>
      <c r="C111" s="425"/>
      <c r="D111" s="442"/>
      <c r="E111" s="426"/>
      <c r="F111" s="441"/>
      <c r="G111" s="442"/>
      <c r="H111" s="426"/>
      <c r="I111" s="441"/>
      <c r="J111" s="442"/>
      <c r="K111" s="426"/>
      <c r="L111" s="441"/>
    </row>
    <row r="112" spans="2:12" x14ac:dyDescent="0.5">
      <c r="B112" s="407" t="str">
        <f>IF(CHW_Time!B103&lt;&gt;"",CHW_Time!B103,"")</f>
        <v/>
      </c>
      <c r="C112" s="425"/>
      <c r="D112" s="442"/>
      <c r="E112" s="426"/>
      <c r="F112" s="441"/>
      <c r="G112" s="442"/>
      <c r="H112" s="426"/>
      <c r="I112" s="441"/>
      <c r="J112" s="442"/>
      <c r="K112" s="426"/>
      <c r="L112" s="441"/>
    </row>
    <row r="113" spans="2:12" x14ac:dyDescent="0.5">
      <c r="B113" s="407" t="str">
        <f>IF(CHW_Time!B104&lt;&gt;"",CHW_Time!B104,"")</f>
        <v/>
      </c>
      <c r="C113" s="425"/>
      <c r="D113" s="442"/>
      <c r="E113" s="426"/>
      <c r="F113" s="441"/>
      <c r="G113" s="442"/>
      <c r="H113" s="426"/>
      <c r="I113" s="441"/>
      <c r="J113" s="442"/>
      <c r="K113" s="426"/>
      <c r="L113" s="441"/>
    </row>
    <row r="114" spans="2:12" x14ac:dyDescent="0.5">
      <c r="B114" s="402" t="str">
        <f>IF(CHW_Time!B105&lt;&gt;"",CHW_Time!B105,"")</f>
        <v/>
      </c>
      <c r="C114" s="428"/>
      <c r="D114" s="446"/>
      <c r="E114" s="429"/>
      <c r="F114" s="447"/>
      <c r="G114" s="448"/>
      <c r="H114" s="429"/>
      <c r="I114" s="447"/>
      <c r="J114" s="448"/>
      <c r="K114" s="429"/>
      <c r="L114" s="447"/>
    </row>
  </sheetData>
  <sheetProtection selectLockedCells="1"/>
  <mergeCells count="30">
    <mergeCell ref="AG23:AO24"/>
    <mergeCell ref="P43:X44"/>
    <mergeCell ref="Y43:AF44"/>
    <mergeCell ref="AA1:AN1"/>
    <mergeCell ref="Y25:AF26"/>
    <mergeCell ref="P25:X26"/>
    <mergeCell ref="AG3:AN4"/>
    <mergeCell ref="AI5:AJ5"/>
    <mergeCell ref="P23:Q23"/>
    <mergeCell ref="P24:Q24"/>
    <mergeCell ref="P21:AF22"/>
    <mergeCell ref="R23:X23"/>
    <mergeCell ref="R24:X24"/>
    <mergeCell ref="A1:Z1"/>
    <mergeCell ref="D14:E14"/>
    <mergeCell ref="G14:H14"/>
    <mergeCell ref="J14:K14"/>
    <mergeCell ref="Y23:AF24"/>
    <mergeCell ref="AA5:AB5"/>
    <mergeCell ref="P3:X4"/>
    <mergeCell ref="Y3:AF4"/>
    <mergeCell ref="D13:F13"/>
    <mergeCell ref="G13:I13"/>
    <mergeCell ref="J13:L13"/>
    <mergeCell ref="D3:F3"/>
    <mergeCell ref="G3:I3"/>
    <mergeCell ref="J3:L3"/>
    <mergeCell ref="D4:F4"/>
    <mergeCell ref="G4:I4"/>
    <mergeCell ref="J4:L4"/>
  </mergeCells>
  <dataValidations count="3">
    <dataValidation type="list" allowBlank="1" showInputMessage="1" showErrorMessage="1" sqref="L15:L113 R23 F15:F114 I15:I113" xr:uid="{00000000-0002-0000-0600-000000000000}">
      <formula1>chw_short_list</formula1>
    </dataValidation>
    <dataValidation type="list" allowBlank="1" showInputMessage="1" showErrorMessage="1" sqref="AB48:AD48" xr:uid="{00000000-0002-0000-0600-000001000000}">
      <formula1>coverage_list</formula1>
    </dataValidation>
    <dataValidation type="list" allowBlank="1" showInputMessage="1" showErrorMessage="1" sqref="R75" xr:uid="{00000000-0002-0000-0600-000002000000}">
      <formula1>percapita_list</formula1>
    </dataValidation>
  </dataValidations>
  <pageMargins left="0.7" right="0.7" top="0.75" bottom="0.75" header="0.3" footer="0.3"/>
  <pageSetup scale="52" fitToHeight="0" orientation="landscape" r:id="rId1"/>
  <headerFooter>
    <oddHeader>&amp;LSummary of CHW Program</oddHeader>
  </headerFooter>
  <rowBreaks count="1" manualBreakCount="1">
    <brk id="46" max="26" man="1"/>
  </rowBreaks>
  <colBreaks count="1" manualBreakCount="1">
    <brk id="32" max="1048575" man="1"/>
  </colBreaks>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600-000003000000}">
          <x14:formula1>
            <xm:f>'CHW drop-downs'!$A$36:$A$39</xm:f>
          </x14:formula1>
          <xm:sqref>R24</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9" tint="-0.249977111117893"/>
  </sheetPr>
  <dimension ref="A1:I41"/>
  <sheetViews>
    <sheetView workbookViewId="0">
      <selection activeCell="E32" sqref="E32"/>
    </sheetView>
  </sheetViews>
  <sheetFormatPr defaultColWidth="9.07421875" defaultRowHeight="15.9" x14ac:dyDescent="0.5"/>
  <cols>
    <col min="1" max="1" width="58.69140625" style="387" customWidth="1"/>
    <col min="2" max="2" width="12.4609375" style="387" customWidth="1"/>
    <col min="3" max="16384" width="9.07421875" style="387"/>
  </cols>
  <sheetData>
    <row r="1" spans="1:9" ht="54" customHeight="1" x14ac:dyDescent="0.5">
      <c r="A1" s="611" t="s">
        <v>1571</v>
      </c>
      <c r="B1" s="611"/>
      <c r="C1" s="611"/>
      <c r="D1" s="611"/>
      <c r="E1" s="611"/>
      <c r="F1" s="611"/>
      <c r="G1" s="611"/>
      <c r="H1" s="611"/>
      <c r="I1" s="535"/>
    </row>
    <row r="2" spans="1:9" x14ac:dyDescent="0.5">
      <c r="A2" s="486"/>
      <c r="B2" s="541"/>
      <c r="C2" s="535"/>
      <c r="D2" s="537"/>
      <c r="E2" s="535"/>
      <c r="F2" s="535"/>
      <c r="G2" s="535"/>
      <c r="H2" s="535"/>
      <c r="I2" s="535"/>
    </row>
    <row r="3" spans="1:9" x14ac:dyDescent="0.5">
      <c r="A3" s="561"/>
      <c r="B3" s="526"/>
      <c r="C3" s="535"/>
      <c r="D3" s="535"/>
      <c r="E3" s="535"/>
      <c r="F3" s="535"/>
      <c r="G3" s="535"/>
      <c r="H3" s="535"/>
      <c r="I3" s="535"/>
    </row>
    <row r="4" spans="1:9" x14ac:dyDescent="0.5">
      <c r="A4" s="561"/>
      <c r="B4" s="527"/>
      <c r="C4" s="538"/>
      <c r="D4" s="538"/>
      <c r="E4" s="535"/>
      <c r="F4" s="535"/>
      <c r="G4" s="535"/>
      <c r="H4" s="535"/>
      <c r="I4" s="535"/>
    </row>
    <row r="5" spans="1:9" x14ac:dyDescent="0.5">
      <c r="A5" s="562"/>
      <c r="B5" s="527"/>
      <c r="C5" s="535"/>
      <c r="D5" s="535"/>
      <c r="E5" s="535"/>
      <c r="F5" s="535"/>
      <c r="G5" s="535"/>
      <c r="H5" s="535"/>
      <c r="I5" s="535"/>
    </row>
    <row r="6" spans="1:9" x14ac:dyDescent="0.5">
      <c r="A6" s="561"/>
      <c r="B6" s="526"/>
      <c r="C6" s="535"/>
      <c r="D6" s="535"/>
      <c r="E6" s="535"/>
      <c r="F6" s="535"/>
      <c r="G6" s="535"/>
      <c r="H6" s="535"/>
      <c r="I6" s="535"/>
    </row>
    <row r="7" spans="1:9" x14ac:dyDescent="0.5">
      <c r="A7" s="562"/>
      <c r="B7" s="527"/>
      <c r="C7" s="538"/>
      <c r="D7" s="538"/>
      <c r="E7" s="535"/>
      <c r="F7" s="535"/>
      <c r="G7" s="535"/>
      <c r="H7" s="535"/>
      <c r="I7" s="535"/>
    </row>
    <row r="8" spans="1:9" x14ac:dyDescent="0.5">
      <c r="A8" s="546"/>
      <c r="B8" s="526"/>
      <c r="C8" s="535"/>
      <c r="D8" s="535"/>
      <c r="E8" s="535"/>
      <c r="F8" s="535"/>
      <c r="G8" s="535"/>
      <c r="H8" s="535"/>
      <c r="I8" s="535"/>
    </row>
    <row r="9" spans="1:9" x14ac:dyDescent="0.5">
      <c r="A9" s="546"/>
      <c r="B9" s="526"/>
      <c r="C9" s="535"/>
      <c r="D9" s="535"/>
      <c r="E9" s="535"/>
      <c r="F9" s="535"/>
      <c r="G9" s="535"/>
      <c r="H9" s="535"/>
      <c r="I9" s="535"/>
    </row>
    <row r="10" spans="1:9" x14ac:dyDescent="0.5">
      <c r="A10" s="546"/>
      <c r="B10" s="526"/>
      <c r="C10" s="535"/>
      <c r="D10" s="535"/>
      <c r="E10" s="535"/>
      <c r="F10" s="535"/>
      <c r="G10" s="535"/>
      <c r="H10" s="535"/>
      <c r="I10" s="535"/>
    </row>
    <row r="11" spans="1:9" x14ac:dyDescent="0.5">
      <c r="A11" s="546"/>
      <c r="B11" s="526"/>
      <c r="C11" s="535"/>
      <c r="D11" s="535"/>
      <c r="E11" s="535"/>
      <c r="F11" s="535"/>
      <c r="G11" s="535"/>
      <c r="H11" s="535"/>
      <c r="I11" s="535"/>
    </row>
    <row r="12" spans="1:9" x14ac:dyDescent="0.5">
      <c r="A12" s="541"/>
      <c r="B12" s="526"/>
      <c r="C12" s="535"/>
      <c r="D12" s="535"/>
      <c r="E12" s="535"/>
      <c r="F12" s="535"/>
      <c r="G12" s="535"/>
      <c r="H12" s="535"/>
      <c r="I12" s="535"/>
    </row>
    <row r="13" spans="1:9" x14ac:dyDescent="0.5">
      <c r="A13" s="528"/>
      <c r="B13" s="528"/>
      <c r="C13" s="538"/>
      <c r="D13" s="538"/>
      <c r="E13" s="535"/>
      <c r="F13" s="535"/>
      <c r="G13" s="535"/>
      <c r="H13" s="535"/>
      <c r="I13" s="535"/>
    </row>
    <row r="14" spans="1:9" x14ac:dyDescent="0.5">
      <c r="A14" s="546"/>
      <c r="B14" s="529"/>
      <c r="C14" s="539"/>
      <c r="D14" s="537"/>
      <c r="E14" s="537"/>
      <c r="F14" s="535"/>
      <c r="G14" s="535"/>
      <c r="H14" s="535"/>
      <c r="I14" s="536"/>
    </row>
    <row r="15" spans="1:9" x14ac:dyDescent="0.5">
      <c r="A15" s="546"/>
      <c r="B15" s="546"/>
      <c r="C15" s="537"/>
      <c r="D15" s="537"/>
      <c r="E15" s="537"/>
      <c r="F15" s="535"/>
      <c r="G15" s="535"/>
      <c r="H15" s="535"/>
      <c r="I15" s="536"/>
    </row>
    <row r="16" spans="1:9" x14ac:dyDescent="0.5">
      <c r="A16" s="546"/>
      <c r="B16" s="546"/>
      <c r="C16" s="537"/>
      <c r="D16" s="537"/>
      <c r="E16" s="537"/>
      <c r="F16" s="535"/>
      <c r="G16" s="535"/>
      <c r="H16" s="535"/>
      <c r="I16" s="536"/>
    </row>
    <row r="17" spans="1:9" x14ac:dyDescent="0.5">
      <c r="A17" s="546"/>
      <c r="B17" s="546"/>
      <c r="C17" s="537"/>
      <c r="D17" s="537"/>
      <c r="E17" s="537"/>
      <c r="F17" s="535"/>
      <c r="G17" s="535"/>
      <c r="H17" s="535"/>
      <c r="I17" s="536"/>
    </row>
    <row r="18" spans="1:9" x14ac:dyDescent="0.5">
      <c r="A18" s="549"/>
      <c r="B18" s="529"/>
      <c r="C18" s="539"/>
      <c r="D18" s="538"/>
      <c r="E18" s="535"/>
      <c r="F18" s="535"/>
      <c r="G18" s="535"/>
      <c r="H18" s="535"/>
      <c r="I18" s="535"/>
    </row>
    <row r="19" spans="1:9" x14ac:dyDescent="0.5">
      <c r="A19" s="546"/>
      <c r="B19" s="546"/>
      <c r="C19" s="537"/>
      <c r="D19" s="537"/>
      <c r="E19" s="537"/>
      <c r="F19" s="535"/>
      <c r="G19" s="535"/>
      <c r="H19" s="535"/>
      <c r="I19" s="535"/>
    </row>
    <row r="20" spans="1:9" x14ac:dyDescent="0.5">
      <c r="A20" s="549"/>
      <c r="B20" s="529"/>
      <c r="C20" s="533"/>
      <c r="D20" s="532"/>
      <c r="E20" s="530"/>
      <c r="F20" s="530"/>
      <c r="G20" s="530"/>
      <c r="H20" s="530"/>
      <c r="I20" s="530"/>
    </row>
    <row r="21" spans="1:9" ht="18" x14ac:dyDescent="0.6">
      <c r="A21" s="550"/>
      <c r="B21" s="546"/>
      <c r="C21" s="537"/>
      <c r="D21" s="535"/>
      <c r="E21" s="535"/>
      <c r="F21" s="535"/>
      <c r="G21" s="535"/>
      <c r="H21" s="535"/>
      <c r="I21" s="535"/>
    </row>
    <row r="22" spans="1:9" x14ac:dyDescent="0.5">
      <c r="A22" s="546"/>
      <c r="B22" s="541"/>
      <c r="C22" s="537"/>
      <c r="D22" s="535"/>
      <c r="E22" s="535"/>
      <c r="F22" s="535"/>
      <c r="G22" s="535"/>
      <c r="H22" s="535"/>
      <c r="I22" s="535"/>
    </row>
    <row r="23" spans="1:9" x14ac:dyDescent="0.5">
      <c r="A23" s="546"/>
      <c r="B23" s="546"/>
      <c r="C23" s="540"/>
      <c r="D23" s="535"/>
      <c r="E23" s="535"/>
      <c r="F23" s="535"/>
      <c r="G23" s="535"/>
      <c r="H23" s="535"/>
      <c r="I23" s="535"/>
    </row>
    <row r="24" spans="1:9" x14ac:dyDescent="0.5">
      <c r="A24" s="546"/>
      <c r="B24" s="546"/>
      <c r="C24" s="540"/>
      <c r="D24" s="535"/>
      <c r="E24" s="535"/>
      <c r="F24" s="535"/>
      <c r="G24" s="535"/>
      <c r="H24" s="535"/>
      <c r="I24" s="535"/>
    </row>
    <row r="25" spans="1:9" x14ac:dyDescent="0.5">
      <c r="A25" s="546"/>
      <c r="B25" s="551"/>
      <c r="C25" s="540"/>
      <c r="D25" s="535"/>
      <c r="E25" s="535"/>
      <c r="F25" s="535"/>
      <c r="G25" s="535"/>
      <c r="H25" s="535"/>
      <c r="I25" s="535"/>
    </row>
    <row r="26" spans="1:9" x14ac:dyDescent="0.5">
      <c r="A26" s="541"/>
      <c r="B26" s="541"/>
      <c r="C26" s="540"/>
      <c r="D26" s="537"/>
      <c r="E26" s="535"/>
      <c r="F26" s="535"/>
      <c r="G26" s="535"/>
      <c r="H26" s="535"/>
      <c r="I26" s="535"/>
    </row>
    <row r="27" spans="1:9" ht="18" x14ac:dyDescent="0.6">
      <c r="A27" s="550"/>
      <c r="B27" s="541"/>
      <c r="C27" s="535"/>
      <c r="D27" s="535"/>
      <c r="E27" s="535"/>
      <c r="F27" s="535"/>
      <c r="G27" s="535"/>
      <c r="H27" s="535"/>
      <c r="I27" s="535"/>
    </row>
    <row r="28" spans="1:9" x14ac:dyDescent="0.5">
      <c r="A28" s="546"/>
      <c r="B28" s="541"/>
      <c r="C28" s="537"/>
      <c r="D28" s="535"/>
      <c r="E28" s="535"/>
      <c r="F28" s="535"/>
      <c r="G28" s="535"/>
      <c r="H28" s="535"/>
      <c r="I28" s="535"/>
    </row>
    <row r="29" spans="1:9" x14ac:dyDescent="0.5">
      <c r="A29" s="546"/>
      <c r="B29" s="546"/>
      <c r="C29" s="537"/>
      <c r="D29" s="535"/>
      <c r="E29" s="535"/>
      <c r="F29" s="535"/>
      <c r="G29" s="535"/>
      <c r="H29" s="535"/>
      <c r="I29" s="535"/>
    </row>
    <row r="30" spans="1:9" x14ac:dyDescent="0.5">
      <c r="A30" s="546"/>
      <c r="B30" s="546"/>
      <c r="C30" s="537"/>
      <c r="D30" s="535"/>
      <c r="E30" s="535"/>
      <c r="F30" s="535"/>
      <c r="G30" s="535"/>
      <c r="H30" s="535"/>
      <c r="I30" s="535"/>
    </row>
    <row r="31" spans="1:9" x14ac:dyDescent="0.5">
      <c r="A31" s="546"/>
      <c r="B31" s="546"/>
      <c r="C31" s="537"/>
      <c r="D31" s="535"/>
      <c r="E31" s="535"/>
      <c r="F31" s="535"/>
      <c r="G31" s="535"/>
      <c r="H31" s="535"/>
      <c r="I31" s="535"/>
    </row>
    <row r="32" spans="1:9" x14ac:dyDescent="0.5">
      <c r="A32" s="541"/>
      <c r="B32" s="541"/>
      <c r="C32" s="540"/>
      <c r="D32" s="537"/>
      <c r="E32" s="535"/>
      <c r="F32" s="535"/>
      <c r="G32" s="535"/>
      <c r="H32" s="535"/>
      <c r="I32" s="535"/>
    </row>
    <row r="33" spans="1:9" x14ac:dyDescent="0.5">
      <c r="A33" s="546"/>
      <c r="B33" s="546"/>
      <c r="C33" s="531"/>
      <c r="D33" s="530"/>
      <c r="E33" s="530"/>
      <c r="F33" s="530"/>
      <c r="G33" s="530"/>
      <c r="H33" s="530"/>
      <c r="I33" s="530"/>
    </row>
    <row r="34" spans="1:9" x14ac:dyDescent="0.5">
      <c r="A34" s="528"/>
      <c r="B34" s="541"/>
      <c r="C34" s="534"/>
      <c r="D34" s="531"/>
      <c r="E34" s="530"/>
      <c r="F34" s="530"/>
      <c r="G34" s="530"/>
      <c r="H34" s="530"/>
      <c r="I34" s="530"/>
    </row>
    <row r="35" spans="1:9" x14ac:dyDescent="0.5">
      <c r="A35" s="546"/>
      <c r="B35" s="546"/>
    </row>
    <row r="36" spans="1:9" x14ac:dyDescent="0.5">
      <c r="A36" s="546"/>
      <c r="B36" s="546"/>
    </row>
    <row r="37" spans="1:9" x14ac:dyDescent="0.5">
      <c r="A37" s="546"/>
      <c r="B37" s="546"/>
    </row>
    <row r="38" spans="1:9" x14ac:dyDescent="0.5">
      <c r="A38" s="546"/>
      <c r="B38" s="546"/>
    </row>
    <row r="39" spans="1:9" x14ac:dyDescent="0.5">
      <c r="A39" s="546"/>
      <c r="B39" s="546"/>
    </row>
    <row r="40" spans="1:9" x14ac:dyDescent="0.5">
      <c r="A40" s="546"/>
      <c r="B40" s="546"/>
    </row>
    <row r="41" spans="1:9" x14ac:dyDescent="0.5">
      <c r="A41" s="546"/>
      <c r="B41" s="546"/>
    </row>
  </sheetData>
  <mergeCells count="1">
    <mergeCell ref="A1:H1"/>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
  <sheetViews>
    <sheetView workbookViewId="0"/>
  </sheetViews>
  <sheetFormatPr defaultColWidth="8.84375" defaultRowHeight="14.6" x14ac:dyDescent="0.4"/>
  <sheetData/>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2B2DBCC8A5E7ED47A7D5CBE7407F1D48" ma:contentTypeVersion="10" ma:contentTypeDescription="Create a new document." ma:contentTypeScope="" ma:versionID="0e77039cd7f6f64509ae64a0aaa12993">
  <xsd:schema xmlns:xsd="http://www.w3.org/2001/XMLSchema" xmlns:xs="http://www.w3.org/2001/XMLSchema" xmlns:p="http://schemas.microsoft.com/office/2006/metadata/properties" xmlns:ns3="c442bec3-5de2-4848-8046-1525657b99f6" targetNamespace="http://schemas.microsoft.com/office/2006/metadata/properties" ma:root="true" ma:fieldsID="56b52e21f7d96b9d29ec2958765ba9f8" ns3:_="">
    <xsd:import namespace="c442bec3-5de2-4848-8046-1525657b99f6"/>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Location" minOccurs="0"/>
                <xsd:element ref="ns3:MediaServiceOCR" minOccurs="0"/>
                <xsd:element ref="ns3:MediaServiceGenerationTime" minOccurs="0"/>
                <xsd:element ref="ns3:MediaServiceEventHashCode" minOccurs="0"/>
                <xsd:element ref="ns3:MediaServiceAutoKeyPoints" minOccurs="0"/>
                <xsd:element ref="ns3: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442bec3-5de2-4848-8046-1525657b99f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Location" ma:index="12" nillable="true" ma:displayName="Location" ma:internalName="MediaServiceLocation"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21D36490-1183-4ADA-ACA6-5149B4F8E84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442bec3-5de2-4848-8046-1525657b99f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04FD63F-56E0-4DAB-9AC3-7528F4018404}">
  <ds:schemaRefs>
    <ds:schemaRef ds:uri="http://schemas.microsoft.com/sharepoint/v3/contenttype/forms"/>
  </ds:schemaRefs>
</ds:datastoreItem>
</file>

<file path=customXml/itemProps3.xml><?xml version="1.0" encoding="utf-8"?>
<ds:datastoreItem xmlns:ds="http://schemas.openxmlformats.org/officeDocument/2006/customXml" ds:itemID="{B817D853-DF4D-406D-9FA8-0BA05471E7C6}">
  <ds:schemaRefs>
    <ds:schemaRef ds:uri="http://schemas.microsoft.com/office/2006/metadata/properties"/>
    <ds:schemaRef ds:uri="http://purl.org/dc/dcmitype/"/>
    <ds:schemaRef ds:uri="http://purl.org/dc/elements/1.1/"/>
    <ds:schemaRef ds:uri="c442bec3-5de2-4848-8046-1525657b99f6"/>
    <ds:schemaRef ds:uri="http://schemas.openxmlformats.org/package/2006/metadata/core-properties"/>
    <ds:schemaRef ds:uri="http://purl.org/dc/terms/"/>
    <ds:schemaRef ds:uri="http://schemas.microsoft.com/office/infopath/2007/PartnerControls"/>
    <ds:schemaRef ds:uri="http://schemas.microsoft.com/office/2006/documentManagement/type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24</vt:i4>
      </vt:variant>
      <vt:variant>
        <vt:lpstr>Named Ranges</vt:lpstr>
      </vt:variant>
      <vt:variant>
        <vt:i4>57</vt:i4>
      </vt:variant>
    </vt:vector>
  </HeadingPairs>
  <TitlesOfParts>
    <vt:vector size="81" baseType="lpstr">
      <vt:lpstr>parameters (do not delete)</vt:lpstr>
      <vt:lpstr>Cover</vt:lpstr>
      <vt:lpstr>1. Program Information</vt:lpstr>
      <vt:lpstr>2. CHW Input</vt:lpstr>
      <vt:lpstr>3. Intervention Details</vt:lpstr>
      <vt:lpstr>policy interact graph numbers</vt:lpstr>
      <vt:lpstr>4. Policy Interactive Screen</vt:lpstr>
      <vt:lpstr>Scratch Paper</vt:lpstr>
      <vt:lpstr>Sheet1</vt:lpstr>
      <vt:lpstr>Interview consolidation</vt:lpstr>
      <vt:lpstr>Summary_CHW_Time</vt:lpstr>
      <vt:lpstr>CHW_time_calcs_1</vt:lpstr>
      <vt:lpstr>Summary_CHW</vt:lpstr>
      <vt:lpstr>CHW drop-downs</vt:lpstr>
      <vt:lpstr>Program_Scale-up</vt:lpstr>
      <vt:lpstr>Coverage</vt:lpstr>
      <vt:lpstr>CHW_Time</vt:lpstr>
      <vt:lpstr>CHW_Numbers</vt:lpstr>
      <vt:lpstr>Annex2. Country_Database</vt:lpstr>
      <vt:lpstr>Annex3. Population_Database</vt:lpstr>
      <vt:lpstr>Demography</vt:lpstr>
      <vt:lpstr>STG_Summary</vt:lpstr>
      <vt:lpstr>Service_Numbers</vt:lpstr>
      <vt:lpstr>Summary_Program</vt:lpstr>
      <vt:lpstr>_chw1</vt:lpstr>
      <vt:lpstr>_chw2</vt:lpstr>
      <vt:lpstr>_chw3</vt:lpstr>
      <vt:lpstr>_chw4</vt:lpstr>
      <vt:lpstr>_chw5</vt:lpstr>
      <vt:lpstr>_chw6</vt:lpstr>
      <vt:lpstr>baseline_year</vt:lpstr>
      <vt:lpstr>chw_list</vt:lpstr>
      <vt:lpstr>chw_method</vt:lpstr>
      <vt:lpstr>chw_short_list</vt:lpstr>
      <vt:lpstr>community_target_pop</vt:lpstr>
      <vt:lpstr>country_database</vt:lpstr>
      <vt:lpstr>country_list</vt:lpstr>
      <vt:lpstr>crude_birth_rate</vt:lpstr>
      <vt:lpstr>'4. Policy Interactive Screen'!dashboard_selection2</vt:lpstr>
      <vt:lpstr>'4. Policy Interactive Screen'!dashboard_selection3</vt:lpstr>
      <vt:lpstr>database_indicators</vt:lpstr>
      <vt:lpstr>household_size</vt:lpstr>
      <vt:lpstr>length_of_program</vt:lpstr>
      <vt:lpstr>lookup_chw_numbers</vt:lpstr>
      <vt:lpstr>lookup_chw_training</vt:lpstr>
      <vt:lpstr>lookup_demography</vt:lpstr>
      <vt:lpstr>lookup_masterlist</vt:lpstr>
      <vt:lpstr>lookup_rural</vt:lpstr>
      <vt:lpstr>lookup_targetpop</vt:lpstr>
      <vt:lpstr>lookup_time_cost</vt:lpstr>
      <vt:lpstr>lookup_urban</vt:lpstr>
      <vt:lpstr>Male_condom_distribution</vt:lpstr>
      <vt:lpstr>maternal_mortality_rate</vt:lpstr>
      <vt:lpstr>national_pop</vt:lpstr>
      <vt:lpstr>national_pop_growth</vt:lpstr>
      <vt:lpstr>number_chw_cat</vt:lpstr>
      <vt:lpstr>percent_rural</vt:lpstr>
      <vt:lpstr>percent_urban</vt:lpstr>
      <vt:lpstr>pop_lookup</vt:lpstr>
      <vt:lpstr>'4. Policy Interactive Screen'!Print_Area</vt:lpstr>
      <vt:lpstr>program_list</vt:lpstr>
      <vt:lpstr>program1</vt:lpstr>
      <vt:lpstr>program10</vt:lpstr>
      <vt:lpstr>program2</vt:lpstr>
      <vt:lpstr>program3</vt:lpstr>
      <vt:lpstr>program4</vt:lpstr>
      <vt:lpstr>program5</vt:lpstr>
      <vt:lpstr>program6</vt:lpstr>
      <vt:lpstr>program7</vt:lpstr>
      <vt:lpstr>program8</vt:lpstr>
      <vt:lpstr>program9</vt:lpstr>
      <vt:lpstr>scaleup</vt:lpstr>
      <vt:lpstr>selected_country</vt:lpstr>
      <vt:lpstr>subnat_pop</vt:lpstr>
      <vt:lpstr>subnational</vt:lpstr>
      <vt:lpstr>subnational_name</vt:lpstr>
      <vt:lpstr>target_pop</vt:lpstr>
      <vt:lpstr>target_pops</vt:lpstr>
      <vt:lpstr>urban_rural</vt:lpstr>
      <vt:lpstr>urban_rural_scenario</vt:lpstr>
      <vt:lpstr>year_lookup</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bwinfrey</dc:creator>
  <cp:lastModifiedBy>Hannan, Anika</cp:lastModifiedBy>
  <dcterms:created xsi:type="dcterms:W3CDTF">2017-08-22T15:20:45Z</dcterms:created>
  <dcterms:modified xsi:type="dcterms:W3CDTF">2019-09-10T20:52:43Z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5eba510a-1496-44f5-b6ca-43167c5f293d_Enabled">
    <vt:lpwstr>True</vt:lpwstr>
  </property>
  <property fmtid="{D5CDD505-2E9C-101B-9397-08002B2CF9AE}" pid="3" name="MSIP_Label_5eba510a-1496-44f5-b6ca-43167c5f293d_SiteId">
    <vt:lpwstr>d1934b2d-792c-47cc-a2f5-fc634183cd2d</vt:lpwstr>
  </property>
  <property fmtid="{D5CDD505-2E9C-101B-9397-08002B2CF9AE}" pid="4" name="MSIP_Label_5eba510a-1496-44f5-b6ca-43167c5f293d_Owner">
    <vt:lpwstr>esarriot@savechildren.org</vt:lpwstr>
  </property>
  <property fmtid="{D5CDD505-2E9C-101B-9397-08002B2CF9AE}" pid="5" name="MSIP_Label_5eba510a-1496-44f5-b6ca-43167c5f293d_SetDate">
    <vt:lpwstr>2019-07-19T15:40:18.6219692Z</vt:lpwstr>
  </property>
  <property fmtid="{D5CDD505-2E9C-101B-9397-08002B2CF9AE}" pid="6" name="MSIP_Label_5eba510a-1496-44f5-b6ca-43167c5f293d_Name">
    <vt:lpwstr>Public</vt:lpwstr>
  </property>
  <property fmtid="{D5CDD505-2E9C-101B-9397-08002B2CF9AE}" pid="7" name="MSIP_Label_5eba510a-1496-44f5-b6ca-43167c5f293d_Application">
    <vt:lpwstr>Microsoft Azure Information Protection</vt:lpwstr>
  </property>
  <property fmtid="{D5CDD505-2E9C-101B-9397-08002B2CF9AE}" pid="8" name="MSIP_Label_5eba510a-1496-44f5-b6ca-43167c5f293d_Extended_MSFT_Method">
    <vt:lpwstr>Manual</vt:lpwstr>
  </property>
  <property fmtid="{D5CDD505-2E9C-101B-9397-08002B2CF9AE}" pid="9" name="Sensitivity">
    <vt:lpwstr>Public</vt:lpwstr>
  </property>
  <property fmtid="{D5CDD505-2E9C-101B-9397-08002B2CF9AE}" pid="10" name="ContentTypeId">
    <vt:lpwstr>0x0101002B2DBCC8A5E7ED47A7D5CBE7407F1D48</vt:lpwstr>
  </property>
</Properties>
</file>